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0" yWindow="75" windowWidth="10185" windowHeight="8085" activeTab="4"/>
  </bookViews>
  <sheets>
    <sheet name="Erläuterungen" sheetId="19" r:id="rId1"/>
    <sheet name="Melkkar und Herde" sheetId="18" r:id="rId2"/>
    <sheet name="AKh" sheetId="15" r:id="rId3"/>
    <sheet name="Wasser" sheetId="17" r:id="rId4"/>
    <sheet name="Energie" sheetId="14" r:id="rId5"/>
  </sheets>
  <definedNames>
    <definedName name="_xlnm.Print_Area" localSheetId="4">Energie!$A$1:$J$109</definedName>
    <definedName name="_xlnm.Print_Area" localSheetId="3">Wasser!$A$1:$J$26</definedName>
    <definedName name="_xlnm.Print_Titles" localSheetId="2">AKh!$1:$4</definedName>
    <definedName name="_xlnm.Print_Titles" localSheetId="4">Energie!$1:$4</definedName>
  </definedNames>
  <calcPr calcId="145621"/>
</workbook>
</file>

<file path=xl/calcChain.xml><?xml version="1.0" encoding="utf-8"?>
<calcChain xmlns="http://schemas.openxmlformats.org/spreadsheetml/2006/main">
  <c r="C70" i="14" l="1"/>
  <c r="C44" i="14"/>
  <c r="C29" i="14"/>
  <c r="C31" i="14" s="1"/>
  <c r="C10" i="14"/>
  <c r="C11" i="14" s="1"/>
  <c r="C12" i="14" s="1"/>
  <c r="D2" i="14"/>
  <c r="E2" i="14"/>
  <c r="F2" i="14"/>
  <c r="G2" i="14"/>
  <c r="H2" i="14"/>
  <c r="I2" i="14"/>
  <c r="J2" i="14"/>
  <c r="C6" i="14"/>
  <c r="C5" i="14"/>
  <c r="C3" i="14"/>
  <c r="C4" i="14"/>
  <c r="C2" i="14"/>
  <c r="C8" i="17"/>
  <c r="C11" i="17" s="1"/>
  <c r="C16" i="17" s="1"/>
  <c r="C17" i="17" s="1"/>
  <c r="C12" i="15"/>
  <c r="C10" i="15"/>
  <c r="C8" i="15"/>
  <c r="C7" i="15"/>
  <c r="C67" i="15" s="1"/>
  <c r="C68" i="15" s="1"/>
  <c r="C78" i="15" s="1"/>
  <c r="C6" i="15"/>
  <c r="C5" i="15"/>
  <c r="C61" i="15"/>
  <c r="C63" i="15" s="1"/>
  <c r="C62" i="15" s="1"/>
  <c r="C54" i="15"/>
  <c r="C56" i="15" s="1"/>
  <c r="C40" i="15"/>
  <c r="C36" i="15"/>
  <c r="C35" i="15"/>
  <c r="C34" i="15"/>
  <c r="C33" i="15"/>
  <c r="C32" i="15"/>
  <c r="C31" i="15"/>
  <c r="C30" i="15"/>
  <c r="C28" i="15"/>
  <c r="C41" i="15" s="1"/>
  <c r="C9" i="18"/>
  <c r="C7" i="14" s="1"/>
  <c r="C25" i="14" s="1"/>
  <c r="C7" i="18"/>
  <c r="C4" i="17" s="1"/>
  <c r="C3" i="17"/>
  <c r="D2" i="17"/>
  <c r="E2" i="17"/>
  <c r="F2" i="17"/>
  <c r="G2" i="17"/>
  <c r="H2" i="17"/>
  <c r="I2" i="17"/>
  <c r="J2" i="17"/>
  <c r="C2" i="17"/>
  <c r="D3" i="17"/>
  <c r="E3" i="17"/>
  <c r="F3" i="17"/>
  <c r="G3" i="17"/>
  <c r="H3" i="17"/>
  <c r="I3" i="17"/>
  <c r="J3" i="17"/>
  <c r="C48" i="15" l="1"/>
  <c r="C39" i="14"/>
  <c r="C51" i="14"/>
  <c r="C53" i="14" s="1"/>
  <c r="C23" i="14"/>
  <c r="C24" i="14" s="1"/>
  <c r="C19" i="17"/>
  <c r="C18" i="17"/>
  <c r="C85" i="15"/>
  <c r="C75" i="15"/>
  <c r="C55" i="15"/>
  <c r="C59" i="15"/>
  <c r="C57" i="15"/>
  <c r="C77" i="15"/>
  <c r="C64" i="15"/>
  <c r="C37" i="15"/>
  <c r="C42" i="15"/>
  <c r="C16" i="18"/>
  <c r="C10" i="18"/>
  <c r="C20" i="17" l="1"/>
  <c r="C40" i="14"/>
  <c r="C43" i="14" s="1"/>
  <c r="C45" i="14" s="1"/>
  <c r="C98" i="14" s="1"/>
  <c r="C61" i="14"/>
  <c r="C63" i="14" s="1"/>
  <c r="C23" i="17"/>
  <c r="C25" i="17" s="1"/>
  <c r="C79" i="14" s="1"/>
  <c r="C82" i="14" s="1"/>
  <c r="C26" i="14"/>
  <c r="C28" i="14" s="1"/>
  <c r="C32" i="14" s="1"/>
  <c r="C33" i="14" s="1"/>
  <c r="C13" i="18"/>
  <c r="C9" i="15"/>
  <c r="C82" i="15"/>
  <c r="C84" i="15"/>
  <c r="C46" i="14" l="1"/>
  <c r="C47" i="14"/>
  <c r="C48" i="14"/>
  <c r="C100" i="14"/>
  <c r="C64" i="14"/>
  <c r="C66" i="14"/>
  <c r="C65" i="14"/>
  <c r="C102" i="14"/>
  <c r="C84" i="14"/>
  <c r="C83" i="14"/>
  <c r="C85" i="14"/>
  <c r="C34" i="14"/>
  <c r="C97" i="14"/>
  <c r="C35" i="14"/>
  <c r="C36" i="14"/>
  <c r="C15" i="18"/>
  <c r="C13" i="15" s="1"/>
  <c r="C43" i="15" s="1"/>
  <c r="C46" i="15" s="1"/>
  <c r="C49" i="15" s="1"/>
  <c r="C50" i="15" s="1"/>
  <c r="C11" i="15"/>
  <c r="C76" i="15" l="1"/>
  <c r="C83" i="15" s="1"/>
  <c r="C86" i="15" s="1"/>
  <c r="C14" i="14"/>
  <c r="C17" i="14" s="1"/>
  <c r="C69" i="14"/>
  <c r="C71" i="14" s="1"/>
  <c r="C71" i="15"/>
  <c r="C72" i="15" s="1"/>
  <c r="C54" i="14" s="1"/>
  <c r="C55" i="14" s="1"/>
  <c r="C47" i="15"/>
  <c r="C79" i="15"/>
  <c r="C95" i="15" s="1"/>
  <c r="C58" i="14" l="1"/>
  <c r="C57" i="14"/>
  <c r="C56" i="14"/>
  <c r="C99" i="14"/>
  <c r="C89" i="14"/>
  <c r="C90" i="14" s="1"/>
  <c r="C73" i="14"/>
  <c r="C96" i="14"/>
  <c r="C18" i="14"/>
  <c r="C20" i="14"/>
  <c r="C19" i="14"/>
  <c r="J28" i="15"/>
  <c r="I28" i="15"/>
  <c r="H28" i="15"/>
  <c r="G28" i="15"/>
  <c r="F28" i="15"/>
  <c r="E28" i="15"/>
  <c r="D28" i="15"/>
  <c r="C104" i="14" l="1"/>
  <c r="C109" i="14" s="1"/>
  <c r="C75" i="14"/>
  <c r="C74" i="14"/>
  <c r="C76" i="14"/>
  <c r="C101" i="14"/>
  <c r="C93" i="14"/>
  <c r="C92" i="14"/>
  <c r="C91" i="14"/>
  <c r="D2" i="15"/>
  <c r="E2" i="15"/>
  <c r="F2" i="15"/>
  <c r="G2" i="15"/>
  <c r="H2" i="15"/>
  <c r="I2" i="15"/>
  <c r="J2" i="15"/>
  <c r="C3" i="15"/>
  <c r="C4" i="15"/>
  <c r="C2" i="15"/>
  <c r="C105" i="14" l="1"/>
  <c r="C107" i="14"/>
  <c r="C106" i="14"/>
  <c r="C92" i="15"/>
  <c r="C89" i="15"/>
  <c r="C91" i="15"/>
  <c r="C90" i="15"/>
  <c r="D90" i="14"/>
  <c r="E90" i="14"/>
  <c r="F90" i="14"/>
  <c r="G90" i="14"/>
  <c r="C93" i="15" l="1"/>
  <c r="E7" i="18"/>
  <c r="F7" i="18"/>
  <c r="G7" i="18"/>
  <c r="H7" i="18"/>
  <c r="I7" i="18"/>
  <c r="J7" i="18"/>
  <c r="D7" i="18"/>
  <c r="B101" i="14" l="1"/>
  <c r="D16" i="18" l="1"/>
  <c r="D91" i="14" s="1"/>
  <c r="E9" i="18"/>
  <c r="D9" i="18"/>
  <c r="E16" i="18"/>
  <c r="E91" i="14" s="1"/>
  <c r="D10" i="18" l="1"/>
  <c r="D13" i="18" s="1"/>
  <c r="D15" i="18" s="1"/>
  <c r="E10" i="18"/>
  <c r="E13" i="18" s="1"/>
  <c r="E15" i="18" s="1"/>
  <c r="E61" i="15" l="1"/>
  <c r="F61" i="15"/>
  <c r="G61" i="15"/>
  <c r="H61" i="15"/>
  <c r="I61" i="15"/>
  <c r="J61" i="15"/>
  <c r="D61" i="15"/>
  <c r="E54" i="15" l="1"/>
  <c r="F54" i="15"/>
  <c r="G54" i="15"/>
  <c r="H54" i="15"/>
  <c r="I54" i="15"/>
  <c r="J54" i="15"/>
  <c r="D54" i="15"/>
  <c r="F3" i="14" l="1"/>
  <c r="G3" i="14"/>
  <c r="H3" i="14"/>
  <c r="I3" i="14"/>
  <c r="J3" i="14"/>
  <c r="F4" i="14"/>
  <c r="F92" i="14" s="1"/>
  <c r="G4" i="14"/>
  <c r="G92" i="14" s="1"/>
  <c r="H4" i="14"/>
  <c r="I4" i="14"/>
  <c r="J4" i="14"/>
  <c r="F6" i="14"/>
  <c r="G6" i="14"/>
  <c r="H6" i="14"/>
  <c r="I6" i="14"/>
  <c r="J6" i="14"/>
  <c r="F10" i="14"/>
  <c r="F11" i="14" s="1"/>
  <c r="F12" i="14" s="1"/>
  <c r="G10" i="14"/>
  <c r="G11" i="14" s="1"/>
  <c r="G12" i="14" s="1"/>
  <c r="H10" i="14"/>
  <c r="H11" i="14" s="1"/>
  <c r="H12" i="14" s="1"/>
  <c r="I10" i="14"/>
  <c r="I11" i="14" s="1"/>
  <c r="I12" i="14" s="1"/>
  <c r="J10" i="14"/>
  <c r="J11" i="14" s="1"/>
  <c r="J12" i="14" s="1"/>
  <c r="F29" i="14"/>
  <c r="F31" i="14" s="1"/>
  <c r="G29" i="14"/>
  <c r="H29" i="14"/>
  <c r="H31" i="14" s="1"/>
  <c r="I29" i="14"/>
  <c r="I31" i="14" s="1"/>
  <c r="J29" i="14"/>
  <c r="J31" i="14" s="1"/>
  <c r="G31" i="14"/>
  <c r="F44" i="14"/>
  <c r="G44" i="14"/>
  <c r="H44" i="14"/>
  <c r="I44" i="14"/>
  <c r="J44" i="14"/>
  <c r="E8" i="17"/>
  <c r="F8" i="17"/>
  <c r="G8" i="17"/>
  <c r="H8" i="17"/>
  <c r="I8" i="17"/>
  <c r="J8" i="17"/>
  <c r="D63" i="15"/>
  <c r="E63" i="15"/>
  <c r="F63" i="15"/>
  <c r="G63" i="15"/>
  <c r="H63" i="15"/>
  <c r="I63" i="15"/>
  <c r="J63" i="15"/>
  <c r="E56" i="15"/>
  <c r="F56" i="15"/>
  <c r="G56" i="15"/>
  <c r="H56" i="15"/>
  <c r="I56" i="15"/>
  <c r="J56" i="15"/>
  <c r="F30" i="15"/>
  <c r="G30" i="15"/>
  <c r="H30" i="15"/>
  <c r="I30" i="15"/>
  <c r="J30" i="15"/>
  <c r="F32" i="15"/>
  <c r="G32" i="15"/>
  <c r="H32" i="15"/>
  <c r="I32" i="15"/>
  <c r="J32" i="15"/>
  <c r="F33" i="15"/>
  <c r="G33" i="15"/>
  <c r="H33" i="15"/>
  <c r="I33" i="15"/>
  <c r="J33" i="15"/>
  <c r="F34" i="15"/>
  <c r="G34" i="15"/>
  <c r="H34" i="15"/>
  <c r="I34" i="15"/>
  <c r="J34" i="15"/>
  <c r="F35" i="15"/>
  <c r="G35" i="15"/>
  <c r="H35" i="15"/>
  <c r="I35" i="15"/>
  <c r="J35" i="15"/>
  <c r="E3" i="15"/>
  <c r="F3" i="15"/>
  <c r="G3" i="15"/>
  <c r="H3" i="15"/>
  <c r="I3" i="15"/>
  <c r="J3" i="15"/>
  <c r="E4" i="15"/>
  <c r="F4" i="15"/>
  <c r="G4" i="15"/>
  <c r="H4" i="15"/>
  <c r="I4" i="15"/>
  <c r="J4" i="15"/>
  <c r="E5" i="15"/>
  <c r="F5" i="15"/>
  <c r="G5" i="15"/>
  <c r="H5" i="15"/>
  <c r="I5" i="15"/>
  <c r="J5" i="15"/>
  <c r="E6" i="15"/>
  <c r="F6" i="15"/>
  <c r="G6" i="15"/>
  <c r="H6" i="15"/>
  <c r="I6" i="15"/>
  <c r="J6" i="15"/>
  <c r="E8" i="15"/>
  <c r="F8" i="15"/>
  <c r="G8" i="15"/>
  <c r="H8" i="15"/>
  <c r="I8" i="15"/>
  <c r="J8" i="15"/>
  <c r="E10" i="15"/>
  <c r="F10" i="15"/>
  <c r="G10" i="15"/>
  <c r="H10" i="15"/>
  <c r="I10" i="15"/>
  <c r="J10" i="15"/>
  <c r="E12" i="15"/>
  <c r="F12" i="15"/>
  <c r="G12" i="15"/>
  <c r="H12" i="15"/>
  <c r="I12" i="15"/>
  <c r="J12" i="15"/>
  <c r="H64" i="15" l="1"/>
  <c r="H62" i="15"/>
  <c r="D62" i="15"/>
  <c r="G64" i="15"/>
  <c r="G62" i="15"/>
  <c r="J64" i="15"/>
  <c r="J62" i="15"/>
  <c r="F64" i="15"/>
  <c r="F62" i="15"/>
  <c r="I77" i="15"/>
  <c r="I91" i="15" s="1"/>
  <c r="I62" i="15"/>
  <c r="E77" i="15"/>
  <c r="E91" i="15" s="1"/>
  <c r="E62" i="15"/>
  <c r="I59" i="15"/>
  <c r="I55" i="15"/>
  <c r="H59" i="15"/>
  <c r="H55" i="15"/>
  <c r="G59" i="15"/>
  <c r="G55" i="15"/>
  <c r="E59" i="15"/>
  <c r="E55" i="15"/>
  <c r="J59" i="15"/>
  <c r="J55" i="15"/>
  <c r="F59" i="15"/>
  <c r="F55" i="15"/>
  <c r="G39" i="14"/>
  <c r="G57" i="15"/>
  <c r="D40" i="15"/>
  <c r="F39" i="14"/>
  <c r="J39" i="14"/>
  <c r="I23" i="14"/>
  <c r="I24" i="14" s="1"/>
  <c r="H39" i="14"/>
  <c r="I51" i="14"/>
  <c r="I53" i="14" s="1"/>
  <c r="I39" i="14"/>
  <c r="I36" i="15"/>
  <c r="G36" i="15"/>
  <c r="H36" i="15"/>
  <c r="F36" i="15"/>
  <c r="G51" i="14"/>
  <c r="G53" i="14" s="1"/>
  <c r="G23" i="14"/>
  <c r="H51" i="14"/>
  <c r="H53" i="14" s="1"/>
  <c r="J23" i="14"/>
  <c r="F23" i="14"/>
  <c r="J51" i="14"/>
  <c r="J53" i="14" s="1"/>
  <c r="F51" i="14"/>
  <c r="F53" i="14" s="1"/>
  <c r="H23" i="14"/>
  <c r="J36" i="15"/>
  <c r="J11" i="17"/>
  <c r="J16" i="17" s="1"/>
  <c r="E11" i="17"/>
  <c r="E16" i="17" s="1"/>
  <c r="H11" i="17"/>
  <c r="H16" i="17" s="1"/>
  <c r="F11" i="17"/>
  <c r="I57" i="15"/>
  <c r="J57" i="15"/>
  <c r="D70" i="14"/>
  <c r="I64" i="15"/>
  <c r="E64" i="15"/>
  <c r="H77" i="15"/>
  <c r="H91" i="15" s="1"/>
  <c r="J77" i="15"/>
  <c r="J91" i="15" s="1"/>
  <c r="F77" i="15"/>
  <c r="F91" i="15" s="1"/>
  <c r="G77" i="15"/>
  <c r="G91" i="15" s="1"/>
  <c r="H57" i="15"/>
  <c r="E57" i="15"/>
  <c r="I11" i="17"/>
  <c r="I16" i="17" s="1"/>
  <c r="G11" i="17"/>
  <c r="G16" i="17" s="1"/>
  <c r="I75" i="15"/>
  <c r="J75" i="15"/>
  <c r="H75" i="15"/>
  <c r="G75" i="15"/>
  <c r="F57" i="15"/>
  <c r="F75" i="15"/>
  <c r="E75" i="15"/>
  <c r="E41" i="15"/>
  <c r="I40" i="15"/>
  <c r="I31" i="15"/>
  <c r="G40" i="15"/>
  <c r="G31" i="15"/>
  <c r="E40" i="15"/>
  <c r="J41" i="15"/>
  <c r="H41" i="15"/>
  <c r="F41" i="15"/>
  <c r="J40" i="15"/>
  <c r="J31" i="15"/>
  <c r="H40" i="15"/>
  <c r="H31" i="15"/>
  <c r="F40" i="15"/>
  <c r="F31" i="15"/>
  <c r="I41" i="15"/>
  <c r="G41" i="15"/>
  <c r="G37" i="15" l="1"/>
  <c r="G42" i="15"/>
  <c r="H37" i="15"/>
  <c r="I26" i="14"/>
  <c r="F37" i="15"/>
  <c r="J37" i="15"/>
  <c r="I37" i="15"/>
  <c r="H17" i="17"/>
  <c r="H19" i="17" s="1"/>
  <c r="H70" i="14"/>
  <c r="F16" i="17"/>
  <c r="F17" i="17" s="1"/>
  <c r="I42" i="15"/>
  <c r="J70" i="14"/>
  <c r="G70" i="14"/>
  <c r="F70" i="14"/>
  <c r="I70" i="14"/>
  <c r="E70" i="14"/>
  <c r="G24" i="14"/>
  <c r="G26" i="14"/>
  <c r="J24" i="14"/>
  <c r="J26" i="14"/>
  <c r="H26" i="14"/>
  <c r="H24" i="14"/>
  <c r="F24" i="14"/>
  <c r="F26" i="14"/>
  <c r="J17" i="17"/>
  <c r="J18" i="17" s="1"/>
  <c r="J40" i="14" s="1"/>
  <c r="I17" i="17"/>
  <c r="I19" i="17" s="1"/>
  <c r="G17" i="17"/>
  <c r="E17" i="17"/>
  <c r="E42" i="15"/>
  <c r="H89" i="15"/>
  <c r="I89" i="15"/>
  <c r="J89" i="15"/>
  <c r="G89" i="15"/>
  <c r="F89" i="15"/>
  <c r="E89" i="15"/>
  <c r="F42" i="15"/>
  <c r="J42" i="15"/>
  <c r="H42" i="15"/>
  <c r="J43" i="14" l="1"/>
  <c r="J45" i="14" s="1"/>
  <c r="F18" i="17"/>
  <c r="F19" i="17"/>
  <c r="J20" i="17"/>
  <c r="J19" i="17"/>
  <c r="H18" i="17"/>
  <c r="H20" i="17" s="1"/>
  <c r="I18" i="17"/>
  <c r="I40" i="14" s="1"/>
  <c r="G18" i="17"/>
  <c r="G40" i="14" s="1"/>
  <c r="G19" i="17"/>
  <c r="E19" i="17"/>
  <c r="E18" i="17"/>
  <c r="E20" i="17" s="1"/>
  <c r="F16" i="18"/>
  <c r="F91" i="14" s="1"/>
  <c r="H16" i="18"/>
  <c r="F9" i="18"/>
  <c r="G9" i="18"/>
  <c r="H9" i="18"/>
  <c r="I9" i="18"/>
  <c r="J9" i="18"/>
  <c r="F10" i="18"/>
  <c r="F9" i="15" s="1"/>
  <c r="G10" i="18"/>
  <c r="G9" i="15" s="1"/>
  <c r="H10" i="18"/>
  <c r="H9" i="15" s="1"/>
  <c r="I10" i="18"/>
  <c r="I9" i="15" s="1"/>
  <c r="J10" i="18"/>
  <c r="J9" i="15" s="1"/>
  <c r="G13" i="18"/>
  <c r="G11" i="15" s="1"/>
  <c r="J13" i="18"/>
  <c r="G15" i="18"/>
  <c r="G13" i="15" s="1"/>
  <c r="G43" i="15" s="1"/>
  <c r="G46" i="15" s="1"/>
  <c r="G16" i="18"/>
  <c r="G91" i="14" s="1"/>
  <c r="I16" i="18"/>
  <c r="J16" i="18"/>
  <c r="J47" i="14" l="1"/>
  <c r="J98" i="14"/>
  <c r="I43" i="14"/>
  <c r="I45" i="14" s="1"/>
  <c r="G43" i="14"/>
  <c r="G45" i="14" s="1"/>
  <c r="H13" i="18"/>
  <c r="I13" i="18"/>
  <c r="I11" i="15" s="1"/>
  <c r="I20" i="17"/>
  <c r="H40" i="14"/>
  <c r="F20" i="17"/>
  <c r="F40" i="14"/>
  <c r="G20" i="17"/>
  <c r="F13" i="18"/>
  <c r="F11" i="15" s="1"/>
  <c r="I61" i="14"/>
  <c r="I63" i="14" s="1"/>
  <c r="I23" i="17"/>
  <c r="I25" i="17" s="1"/>
  <c r="I79" i="14" s="1"/>
  <c r="I7" i="14"/>
  <c r="I5" i="14"/>
  <c r="I4" i="17"/>
  <c r="I7" i="15"/>
  <c r="I67" i="15" s="1"/>
  <c r="H61" i="14"/>
  <c r="H63" i="14" s="1"/>
  <c r="H23" i="17"/>
  <c r="H25" i="17" s="1"/>
  <c r="H79" i="14" s="1"/>
  <c r="H15" i="18"/>
  <c r="H13" i="15" s="1"/>
  <c r="H43" i="15" s="1"/>
  <c r="H46" i="15" s="1"/>
  <c r="H11" i="15"/>
  <c r="H7" i="14"/>
  <c r="H5" i="14"/>
  <c r="H4" i="17"/>
  <c r="H7" i="15"/>
  <c r="H67" i="15" s="1"/>
  <c r="G47" i="15"/>
  <c r="G7" i="14"/>
  <c r="G93" i="14" s="1"/>
  <c r="G4" i="17"/>
  <c r="G7" i="15"/>
  <c r="G67" i="15" s="1"/>
  <c r="G5" i="14"/>
  <c r="G23" i="17"/>
  <c r="G25" i="17" s="1"/>
  <c r="G79" i="14" s="1"/>
  <c r="G61" i="14"/>
  <c r="G63" i="14" s="1"/>
  <c r="F61" i="14"/>
  <c r="F63" i="14" s="1"/>
  <c r="F23" i="17"/>
  <c r="F25" i="17" s="1"/>
  <c r="F79" i="14" s="1"/>
  <c r="F15" i="18"/>
  <c r="F13" i="15" s="1"/>
  <c r="F43" i="15" s="1"/>
  <c r="F46" i="15" s="1"/>
  <c r="F7" i="14"/>
  <c r="F93" i="14" s="1"/>
  <c r="F5" i="14"/>
  <c r="F7" i="15"/>
  <c r="F67" i="15" s="1"/>
  <c r="F4" i="17"/>
  <c r="J46" i="14"/>
  <c r="J61" i="14"/>
  <c r="J63" i="14" s="1"/>
  <c r="J23" i="17"/>
  <c r="J25" i="17" s="1"/>
  <c r="J79" i="14" s="1"/>
  <c r="J15" i="18"/>
  <c r="J13" i="15" s="1"/>
  <c r="J43" i="15" s="1"/>
  <c r="J46" i="15" s="1"/>
  <c r="J11" i="15"/>
  <c r="J7" i="14"/>
  <c r="J5" i="14"/>
  <c r="J4" i="17"/>
  <c r="J7" i="15"/>
  <c r="J67" i="15" s="1"/>
  <c r="B102" i="14"/>
  <c r="B100" i="14"/>
  <c r="B99" i="14"/>
  <c r="B98" i="14"/>
  <c r="B97" i="14"/>
  <c r="B96" i="14"/>
  <c r="I46" i="14" l="1"/>
  <c r="I98" i="14"/>
  <c r="G82" i="14"/>
  <c r="G85" i="14" s="1"/>
  <c r="H82" i="14"/>
  <c r="H84" i="14" s="1"/>
  <c r="I82" i="14"/>
  <c r="I85" i="14" s="1"/>
  <c r="J82" i="14"/>
  <c r="J84" i="14" s="1"/>
  <c r="F82" i="14"/>
  <c r="F84" i="14" s="1"/>
  <c r="G47" i="14"/>
  <c r="G98" i="14"/>
  <c r="G46" i="14"/>
  <c r="I47" i="14"/>
  <c r="H43" i="14"/>
  <c r="H45" i="14" s="1"/>
  <c r="F43" i="14"/>
  <c r="F45" i="14" s="1"/>
  <c r="I15" i="18"/>
  <c r="I13" i="15" s="1"/>
  <c r="I43" i="15" s="1"/>
  <c r="I46" i="15" s="1"/>
  <c r="I47" i="15" s="1"/>
  <c r="I25" i="14"/>
  <c r="I28" i="14" s="1"/>
  <c r="I32" i="14" s="1"/>
  <c r="I33" i="14" s="1"/>
  <c r="I48" i="14"/>
  <c r="I83" i="14"/>
  <c r="I48" i="15"/>
  <c r="I49" i="15" s="1"/>
  <c r="I68" i="15"/>
  <c r="I78" i="15" s="1"/>
  <c r="I84" i="15"/>
  <c r="I82" i="15"/>
  <c r="I64" i="14"/>
  <c r="I66" i="14"/>
  <c r="I65" i="14"/>
  <c r="I100" i="14"/>
  <c r="H84" i="15"/>
  <c r="H48" i="15"/>
  <c r="H49" i="15" s="1"/>
  <c r="H68" i="15"/>
  <c r="H78" i="15" s="1"/>
  <c r="H82" i="15"/>
  <c r="H25" i="14"/>
  <c r="H28" i="14" s="1"/>
  <c r="H32" i="14" s="1"/>
  <c r="H33" i="14" s="1"/>
  <c r="H64" i="14"/>
  <c r="H65" i="14"/>
  <c r="H66" i="14"/>
  <c r="H100" i="14"/>
  <c r="H47" i="15"/>
  <c r="G83" i="14"/>
  <c r="G102" i="14"/>
  <c r="G48" i="15"/>
  <c r="G49" i="15" s="1"/>
  <c r="G68" i="15"/>
  <c r="G78" i="15" s="1"/>
  <c r="G84" i="15"/>
  <c r="G82" i="15"/>
  <c r="G65" i="14"/>
  <c r="G100" i="14"/>
  <c r="G64" i="14"/>
  <c r="G66" i="14"/>
  <c r="G25" i="14"/>
  <c r="G28" i="14" s="1"/>
  <c r="G32" i="14" s="1"/>
  <c r="G33" i="14" s="1"/>
  <c r="G48" i="14"/>
  <c r="F25" i="14"/>
  <c r="F28" i="14" s="1"/>
  <c r="F32" i="14" s="1"/>
  <c r="F33" i="14" s="1"/>
  <c r="F84" i="15"/>
  <c r="F68" i="15"/>
  <c r="F78" i="15" s="1"/>
  <c r="F48" i="15"/>
  <c r="F49" i="15" s="1"/>
  <c r="F82" i="15"/>
  <c r="F83" i="14"/>
  <c r="F102" i="14"/>
  <c r="F64" i="14"/>
  <c r="F65" i="14"/>
  <c r="F66" i="14"/>
  <c r="F100" i="14"/>
  <c r="F47" i="15"/>
  <c r="J47" i="15"/>
  <c r="J64" i="14"/>
  <c r="J65" i="14"/>
  <c r="J66" i="14"/>
  <c r="J100" i="14"/>
  <c r="J84" i="15"/>
  <c r="J68" i="15"/>
  <c r="J78" i="15" s="1"/>
  <c r="J48" i="15"/>
  <c r="J49" i="15" s="1"/>
  <c r="J82" i="15"/>
  <c r="J25" i="14"/>
  <c r="J28" i="14" s="1"/>
  <c r="J32" i="14" s="1"/>
  <c r="J33" i="14" s="1"/>
  <c r="J48" i="14"/>
  <c r="D4" i="15"/>
  <c r="D8" i="17"/>
  <c r="D10" i="14"/>
  <c r="D11" i="14" s="1"/>
  <c r="D12" i="14" s="1"/>
  <c r="D4" i="14"/>
  <c r="D92" i="14" s="1"/>
  <c r="D44" i="14"/>
  <c r="E10" i="14"/>
  <c r="E23" i="14" s="1"/>
  <c r="E26" i="14" s="1"/>
  <c r="E4" i="14"/>
  <c r="E92" i="14" s="1"/>
  <c r="E44" i="14"/>
  <c r="D56" i="15"/>
  <c r="D55" i="15" s="1"/>
  <c r="E30" i="15"/>
  <c r="E31" i="15"/>
  <c r="E32" i="15"/>
  <c r="E33" i="15"/>
  <c r="E34" i="15"/>
  <c r="E35" i="15"/>
  <c r="E36" i="15"/>
  <c r="D7" i="15"/>
  <c r="D67" i="15" s="1"/>
  <c r="D6" i="15"/>
  <c r="D7" i="14"/>
  <c r="D29" i="14"/>
  <c r="D31" i="14" s="1"/>
  <c r="E3" i="14"/>
  <c r="D3" i="14"/>
  <c r="E6" i="14"/>
  <c r="D6" i="14"/>
  <c r="D4" i="17"/>
  <c r="E29" i="14"/>
  <c r="E31" i="14" s="1"/>
  <c r="D10" i="15"/>
  <c r="D8" i="15"/>
  <c r="D3" i="15"/>
  <c r="D12" i="15"/>
  <c r="D5" i="15"/>
  <c r="B151" i="14"/>
  <c r="B152" i="14"/>
  <c r="B154" i="14"/>
  <c r="B155" i="14"/>
  <c r="B156" i="14"/>
  <c r="B157" i="14"/>
  <c r="B158" i="14"/>
  <c r="B159" i="14"/>
  <c r="B160" i="14"/>
  <c r="B161" i="14"/>
  <c r="B162" i="14"/>
  <c r="B163" i="14"/>
  <c r="B164" i="14"/>
  <c r="B165" i="14"/>
  <c r="B166" i="14"/>
  <c r="B167" i="14"/>
  <c r="B168" i="14"/>
  <c r="B169" i="14"/>
  <c r="B170" i="14"/>
  <c r="B171" i="14"/>
  <c r="B172" i="14"/>
  <c r="B173" i="14"/>
  <c r="B174" i="14"/>
  <c r="B175" i="14"/>
  <c r="B176" i="14"/>
  <c r="B177" i="14"/>
  <c r="B178" i="14"/>
  <c r="B179" i="14"/>
  <c r="B180" i="14"/>
  <c r="B181" i="14"/>
  <c r="B182" i="14"/>
  <c r="B183" i="14"/>
  <c r="B184" i="14"/>
  <c r="B185" i="14"/>
  <c r="B186" i="14"/>
  <c r="B187" i="14"/>
  <c r="B188" i="14"/>
  <c r="B189" i="14"/>
  <c r="B190" i="14"/>
  <c r="B150" i="14"/>
  <c r="D36" i="15"/>
  <c r="D41" i="15"/>
  <c r="D30" i="15"/>
  <c r="D31" i="15"/>
  <c r="D32" i="15"/>
  <c r="D33" i="15"/>
  <c r="D34" i="15"/>
  <c r="D35" i="15"/>
  <c r="D77" i="15"/>
  <c r="D5" i="14"/>
  <c r="E5" i="14"/>
  <c r="E9" i="15"/>
  <c r="H102" i="14" l="1"/>
  <c r="H47" i="14"/>
  <c r="H48" i="14"/>
  <c r="J85" i="14"/>
  <c r="H83" i="14"/>
  <c r="J83" i="14"/>
  <c r="F85" i="14"/>
  <c r="I102" i="14"/>
  <c r="I84" i="14"/>
  <c r="G84" i="14"/>
  <c r="J102" i="14"/>
  <c r="H85" i="14"/>
  <c r="F46" i="14"/>
  <c r="F98" i="14"/>
  <c r="F48" i="14"/>
  <c r="F47" i="14"/>
  <c r="H46" i="14"/>
  <c r="H98" i="14"/>
  <c r="D91" i="15"/>
  <c r="E51" i="14"/>
  <c r="E53" i="14" s="1"/>
  <c r="D51" i="14"/>
  <c r="D53" i="14" s="1"/>
  <c r="D25" i="14"/>
  <c r="D93" i="14"/>
  <c r="E39" i="14"/>
  <c r="D39" i="14"/>
  <c r="D23" i="14"/>
  <c r="D11" i="17"/>
  <c r="D16" i="17" s="1"/>
  <c r="E11" i="14"/>
  <c r="E12" i="14" s="1"/>
  <c r="D9" i="15"/>
  <c r="I85" i="15"/>
  <c r="I92" i="15"/>
  <c r="I71" i="15"/>
  <c r="I72" i="15" s="1"/>
  <c r="I54" i="14" s="1"/>
  <c r="I55" i="14" s="1"/>
  <c r="I50" i="15"/>
  <c r="I69" i="14" s="1"/>
  <c r="I71" i="14" s="1"/>
  <c r="I89" i="14" s="1"/>
  <c r="I34" i="14"/>
  <c r="I36" i="14"/>
  <c r="I35" i="14"/>
  <c r="I97" i="14"/>
  <c r="H50" i="15"/>
  <c r="H69" i="14" s="1"/>
  <c r="H71" i="14" s="1"/>
  <c r="H89" i="14" s="1"/>
  <c r="H71" i="15"/>
  <c r="H72" i="15" s="1"/>
  <c r="H54" i="14" s="1"/>
  <c r="H55" i="14" s="1"/>
  <c r="H34" i="14"/>
  <c r="H35" i="14"/>
  <c r="H36" i="14"/>
  <c r="H97" i="14"/>
  <c r="H92" i="15"/>
  <c r="H85" i="15"/>
  <c r="G85" i="15"/>
  <c r="G92" i="15"/>
  <c r="G35" i="14"/>
  <c r="G97" i="14"/>
  <c r="G34" i="14"/>
  <c r="G36" i="14"/>
  <c r="G71" i="15"/>
  <c r="G72" i="15" s="1"/>
  <c r="G54" i="14" s="1"/>
  <c r="G55" i="14" s="1"/>
  <c r="G50" i="15"/>
  <c r="G69" i="14" s="1"/>
  <c r="G71" i="14" s="1"/>
  <c r="G73" i="14" s="1"/>
  <c r="G75" i="14" s="1"/>
  <c r="F85" i="15"/>
  <c r="F92" i="15"/>
  <c r="F50" i="15"/>
  <c r="F69" i="14" s="1"/>
  <c r="F71" i="14" s="1"/>
  <c r="F73" i="14" s="1"/>
  <c r="F75" i="14" s="1"/>
  <c r="F71" i="15"/>
  <c r="F72" i="15" s="1"/>
  <c r="F54" i="14" s="1"/>
  <c r="F55" i="14" s="1"/>
  <c r="F34" i="14"/>
  <c r="F35" i="14"/>
  <c r="F36" i="14"/>
  <c r="F97" i="14"/>
  <c r="E23" i="17"/>
  <c r="E25" i="17" s="1"/>
  <c r="E7" i="14"/>
  <c r="E93" i="14" s="1"/>
  <c r="E4" i="17"/>
  <c r="E7" i="15"/>
  <c r="E67" i="15" s="1"/>
  <c r="J50" i="15"/>
  <c r="J69" i="14" s="1"/>
  <c r="J71" i="14" s="1"/>
  <c r="J89" i="14" s="1"/>
  <c r="J71" i="15"/>
  <c r="J72" i="15" s="1"/>
  <c r="J54" i="14" s="1"/>
  <c r="J55" i="14" s="1"/>
  <c r="J85" i="15"/>
  <c r="J92" i="15"/>
  <c r="J34" i="14"/>
  <c r="J35" i="14"/>
  <c r="J36" i="14"/>
  <c r="J97" i="14"/>
  <c r="D75" i="15"/>
  <c r="D59" i="15"/>
  <c r="E37" i="15"/>
  <c r="D37" i="15"/>
  <c r="D42" i="15"/>
  <c r="D64" i="15"/>
  <c r="E11" i="15"/>
  <c r="D84" i="15"/>
  <c r="E24" i="14"/>
  <c r="D13" i="15"/>
  <c r="D43" i="15" s="1"/>
  <c r="D11" i="15"/>
  <c r="E61" i="14"/>
  <c r="E63" i="14" s="1"/>
  <c r="E100" i="14" s="1"/>
  <c r="D48" i="15"/>
  <c r="D68" i="15"/>
  <c r="D78" i="15" s="1"/>
  <c r="D57" i="15"/>
  <c r="D61" i="14"/>
  <c r="D63" i="14" s="1"/>
  <c r="D100" i="14" s="1"/>
  <c r="D23" i="17"/>
  <c r="I73" i="14" l="1"/>
  <c r="I75" i="14" s="1"/>
  <c r="I90" i="14"/>
  <c r="I103" i="14" s="1"/>
  <c r="H73" i="14"/>
  <c r="H75" i="14" s="1"/>
  <c r="H90" i="14"/>
  <c r="H103" i="14" s="1"/>
  <c r="J73" i="14"/>
  <c r="J75" i="14" s="1"/>
  <c r="J90" i="14"/>
  <c r="J103" i="14" s="1"/>
  <c r="D26" i="14"/>
  <c r="D28" i="14" s="1"/>
  <c r="D32" i="14" s="1"/>
  <c r="D24" i="14"/>
  <c r="D17" i="17"/>
  <c r="G101" i="14"/>
  <c r="G74" i="14"/>
  <c r="G76" i="14"/>
  <c r="F101" i="14"/>
  <c r="F74" i="14"/>
  <c r="F76" i="14"/>
  <c r="D46" i="15"/>
  <c r="D49" i="15" s="1"/>
  <c r="I57" i="14"/>
  <c r="I99" i="14"/>
  <c r="I56" i="14"/>
  <c r="I58" i="14"/>
  <c r="I76" i="15"/>
  <c r="I14" i="14"/>
  <c r="H56" i="14"/>
  <c r="H57" i="14"/>
  <c r="H58" i="14"/>
  <c r="H99" i="14"/>
  <c r="H14" i="14"/>
  <c r="H76" i="15"/>
  <c r="G56" i="14"/>
  <c r="G58" i="14"/>
  <c r="G57" i="14"/>
  <c r="G99" i="14"/>
  <c r="G14" i="14"/>
  <c r="G76" i="15"/>
  <c r="F56" i="14"/>
  <c r="F57" i="14"/>
  <c r="F58" i="14"/>
  <c r="F99" i="14"/>
  <c r="F14" i="14"/>
  <c r="F76" i="15"/>
  <c r="E68" i="15"/>
  <c r="E78" i="15" s="1"/>
  <c r="E84" i="15"/>
  <c r="E48" i="15"/>
  <c r="E82" i="15"/>
  <c r="E25" i="14"/>
  <c r="E28" i="14" s="1"/>
  <c r="E32" i="14" s="1"/>
  <c r="E33" i="14" s="1"/>
  <c r="E36" i="14" s="1"/>
  <c r="J56" i="14"/>
  <c r="J57" i="14"/>
  <c r="J58" i="14"/>
  <c r="J99" i="14"/>
  <c r="J14" i="14"/>
  <c r="J76" i="15"/>
  <c r="D89" i="15"/>
  <c r="D82" i="15"/>
  <c r="D65" i="14"/>
  <c r="D66" i="14"/>
  <c r="D64" i="14"/>
  <c r="D92" i="15"/>
  <c r="D85" i="15"/>
  <c r="E79" i="14"/>
  <c r="E82" i="14" s="1"/>
  <c r="D25" i="17"/>
  <c r="D79" i="14" s="1"/>
  <c r="D82" i="14" s="1"/>
  <c r="E65" i="14"/>
  <c r="E64" i="14"/>
  <c r="E66" i="14"/>
  <c r="J74" i="14" l="1"/>
  <c r="J101" i="14"/>
  <c r="I101" i="14"/>
  <c r="H101" i="14"/>
  <c r="H76" i="14"/>
  <c r="H74" i="14"/>
  <c r="D33" i="14"/>
  <c r="D97" i="14" s="1"/>
  <c r="I91" i="14"/>
  <c r="I93" i="14"/>
  <c r="I92" i="14"/>
  <c r="I76" i="14"/>
  <c r="H91" i="14"/>
  <c r="H92" i="14"/>
  <c r="H93" i="14"/>
  <c r="J76" i="14"/>
  <c r="I74" i="14"/>
  <c r="J92" i="14"/>
  <c r="J91" i="14"/>
  <c r="J93" i="14"/>
  <c r="D18" i="17"/>
  <c r="D19" i="17"/>
  <c r="D102" i="14"/>
  <c r="D84" i="14"/>
  <c r="E102" i="14"/>
  <c r="E84" i="14"/>
  <c r="D47" i="15"/>
  <c r="E35" i="14"/>
  <c r="I83" i="15"/>
  <c r="I86" i="15" s="1"/>
  <c r="I90" i="15"/>
  <c r="I93" i="15" s="1"/>
  <c r="I79" i="15"/>
  <c r="I95" i="15" s="1"/>
  <c r="I17" i="14"/>
  <c r="I104" i="14" s="1"/>
  <c r="I109" i="14" s="1"/>
  <c r="H17" i="14"/>
  <c r="H104" i="14" s="1"/>
  <c r="H109" i="14" s="1"/>
  <c r="H83" i="15"/>
  <c r="H86" i="15" s="1"/>
  <c r="H90" i="15"/>
  <c r="H93" i="15" s="1"/>
  <c r="H79" i="15"/>
  <c r="H95" i="15" s="1"/>
  <c r="G17" i="14"/>
  <c r="G104" i="14" s="1"/>
  <c r="G109" i="14" s="1"/>
  <c r="G83" i="15"/>
  <c r="G86" i="15" s="1"/>
  <c r="G90" i="15"/>
  <c r="G93" i="15" s="1"/>
  <c r="G79" i="15"/>
  <c r="G95" i="15" s="1"/>
  <c r="E97" i="14"/>
  <c r="F83" i="15"/>
  <c r="F86" i="15" s="1"/>
  <c r="F90" i="15"/>
  <c r="F93" i="15" s="1"/>
  <c r="F79" i="15"/>
  <c r="F95" i="15" s="1"/>
  <c r="F17" i="14"/>
  <c r="F104" i="14" s="1"/>
  <c r="F109" i="14" s="1"/>
  <c r="E92" i="15"/>
  <c r="E85" i="15"/>
  <c r="E34" i="14"/>
  <c r="E13" i="15"/>
  <c r="E43" i="15" s="1"/>
  <c r="E46" i="15" s="1"/>
  <c r="J17" i="14"/>
  <c r="J104" i="14" s="1"/>
  <c r="J109" i="14" s="1"/>
  <c r="J83" i="15"/>
  <c r="J86" i="15" s="1"/>
  <c r="J90" i="15"/>
  <c r="J93" i="15" s="1"/>
  <c r="J79" i="15"/>
  <c r="J95" i="15" s="1"/>
  <c r="E40" i="14"/>
  <c r="D50" i="15"/>
  <c r="D69" i="14" s="1"/>
  <c r="D71" i="14" s="1"/>
  <c r="D73" i="14" s="1"/>
  <c r="D75" i="14" s="1"/>
  <c r="D71" i="15"/>
  <c r="D72" i="15" s="1"/>
  <c r="D54" i="14" s="1"/>
  <c r="D55" i="14" s="1"/>
  <c r="D99" i="14" s="1"/>
  <c r="E83" i="14"/>
  <c r="E85" i="14"/>
  <c r="D83" i="14"/>
  <c r="D85" i="14"/>
  <c r="E43" i="14" l="1"/>
  <c r="E45" i="14" s="1"/>
  <c r="D36" i="14"/>
  <c r="D34" i="14"/>
  <c r="D35" i="14"/>
  <c r="D20" i="17"/>
  <c r="D40" i="14"/>
  <c r="D101" i="14"/>
  <c r="D74" i="14"/>
  <c r="D76" i="14"/>
  <c r="I19" i="14"/>
  <c r="I96" i="14"/>
  <c r="I18" i="14"/>
  <c r="I105" i="14" s="1"/>
  <c r="I20" i="14"/>
  <c r="I107" i="14" s="1"/>
  <c r="H18" i="14"/>
  <c r="H105" i="14" s="1"/>
  <c r="H19" i="14"/>
  <c r="H20" i="14"/>
  <c r="H107" i="14" s="1"/>
  <c r="H96" i="14"/>
  <c r="G18" i="14"/>
  <c r="G105" i="14" s="1"/>
  <c r="G20" i="14"/>
  <c r="G107" i="14" s="1"/>
  <c r="G19" i="14"/>
  <c r="G96" i="14"/>
  <c r="F18" i="14"/>
  <c r="F105" i="14" s="1"/>
  <c r="F19" i="14"/>
  <c r="F20" i="14"/>
  <c r="F107" i="14" s="1"/>
  <c r="F96" i="14"/>
  <c r="E49" i="15"/>
  <c r="E47" i="15"/>
  <c r="J18" i="14"/>
  <c r="J105" i="14" s="1"/>
  <c r="J19" i="14"/>
  <c r="J20" i="14"/>
  <c r="J107" i="14" s="1"/>
  <c r="J96" i="14"/>
  <c r="D76" i="15"/>
  <c r="D14" i="14"/>
  <c r="D57" i="14"/>
  <c r="D58" i="14"/>
  <c r="D56" i="14"/>
  <c r="E46" i="14" l="1"/>
  <c r="E98" i="14"/>
  <c r="E48" i="14"/>
  <c r="E47" i="14"/>
  <c r="D43" i="14"/>
  <c r="D45" i="14" s="1"/>
  <c r="H106" i="14"/>
  <c r="F106" i="14"/>
  <c r="G106" i="14"/>
  <c r="I106" i="14"/>
  <c r="J106" i="14"/>
  <c r="E50" i="15"/>
  <c r="E69" i="14" s="1"/>
  <c r="E71" i="14" s="1"/>
  <c r="E71" i="15"/>
  <c r="E72" i="15" s="1"/>
  <c r="E54" i="14" s="1"/>
  <c r="E55" i="14" s="1"/>
  <c r="E99" i="14" s="1"/>
  <c r="D17" i="14"/>
  <c r="D90" i="15"/>
  <c r="D93" i="15" s="1"/>
  <c r="D83" i="15"/>
  <c r="D86" i="15" s="1"/>
  <c r="D79" i="15"/>
  <c r="D95" i="15" s="1"/>
  <c r="D46" i="14" l="1"/>
  <c r="D47" i="14"/>
  <c r="D48" i="14"/>
  <c r="D98" i="14"/>
  <c r="D104" i="14"/>
  <c r="E73" i="14"/>
  <c r="E75" i="14" s="1"/>
  <c r="D96" i="14"/>
  <c r="E58" i="14"/>
  <c r="E57" i="14"/>
  <c r="E56" i="14"/>
  <c r="E76" i="15"/>
  <c r="E14" i="14"/>
  <c r="D18" i="14"/>
  <c r="D20" i="14"/>
  <c r="D19" i="14"/>
  <c r="D105" i="14" l="1"/>
  <c r="D107" i="14"/>
  <c r="D109" i="14"/>
  <c r="E74" i="14"/>
  <c r="E76" i="14"/>
  <c r="E101" i="14"/>
  <c r="D106" i="14"/>
  <c r="E83" i="15"/>
  <c r="E86" i="15" s="1"/>
  <c r="E90" i="15"/>
  <c r="E93" i="15" s="1"/>
  <c r="E79" i="15"/>
  <c r="E95" i="15" s="1"/>
  <c r="E17" i="14"/>
  <c r="E104" i="14" s="1"/>
  <c r="E109" i="14" s="1"/>
  <c r="E96" i="14" l="1"/>
  <c r="E18" i="14"/>
  <c r="E105" i="14" s="1"/>
  <c r="E19" i="14"/>
  <c r="E20" i="14"/>
  <c r="E107" i="14" s="1"/>
  <c r="E106" i="14" l="1"/>
</calcChain>
</file>

<file path=xl/comments1.xml><?xml version="1.0" encoding="utf-8"?>
<comments xmlns="http://schemas.openxmlformats.org/spreadsheetml/2006/main">
  <authors>
    <author>rp10</author>
  </authors>
  <commentList>
    <comment ref="A40" authorId="0">
      <text>
        <r>
          <rPr>
            <sz val="12"/>
            <color indexed="81"/>
            <rFont val="Tahoma"/>
            <family val="2"/>
          </rPr>
          <t>Verfügbare Zeitdauer für den Milchentzug nach ansetzen einer Kuh bis zum dippen der selben Kuh!</t>
        </r>
      </text>
    </comment>
    <comment ref="A42" authorId="0">
      <text>
        <r>
          <rPr>
            <sz val="8"/>
            <color indexed="81"/>
            <rFont val="Tahoma"/>
            <family val="2"/>
          </rPr>
          <t>Wieviel Zeit zur Milchabgabe hat die Kuh, bis sie beim Melker oder Dipproboter zur Nachbereitung ankommt?</t>
        </r>
      </text>
    </comment>
    <comment ref="A49" authorId="0">
      <text>
        <r>
          <rPr>
            <sz val="8"/>
            <color indexed="81"/>
            <rFont val="Tahoma"/>
            <family val="2"/>
          </rPr>
          <t xml:space="preserve">Beachte: Immer aufgerundet auf ganze Melkstandseite bzw. Karussellumdrehung! </t>
        </r>
      </text>
    </comment>
    <comment ref="A53" authorId="0">
      <text>
        <r>
          <rPr>
            <sz val="8"/>
            <color indexed="81"/>
            <rFont val="Tahoma"/>
            <family val="2"/>
          </rPr>
          <t xml:space="preserve">Umfaßt grundsätzlich:
- Umbau Milchhaus von Spülen auf Melken,
- Einschalten der Vakuumpumpe i.d.R. am Spülautomat,
- Weg zum Melkstand,
- Herausnahme der Melkzeuge aus den Spülaufnahmen und Abklappen der Selbigen,
- Material bereitstellen (Dipmittel, Becher, Vormelkbecher, Euterpapier...)
- persönliche Vorbereitung (Melkschürze, Handschuhe)
Hängt ab von:
- Weg von Milchhaus zu Melkstand,
- technische Einrichtung Spülaufnahme,
- Art der Euterreinigung, des Dippens,
- Platzierung von Schaltern,
- Geschicklichkeit
Praxismessungen liegen im Mittel bei 0,49 min je Melkplatz in einer Schwankungsbreite von 0,28 bis 0,79 </t>
        </r>
      </text>
    </comment>
    <comment ref="A60" authorId="0">
      <text>
        <r>
          <rPr>
            <sz val="8"/>
            <color indexed="81"/>
            <rFont val="Tahoma"/>
            <family val="2"/>
          </rPr>
          <t xml:space="preserve">Umfasst grundsätzlich:
- Restmilch aus dem System herausdrücken;
- Weg zum Milchhaus;
- Umbau von Melken auf Spülen;
- Weg zum Melkstand;
- Aufsetzen der Melkzeuge auf die Spülaufnahmen; 
- Weg zum Milchhaus;
- Programmierung/Einschalten der Selben;
- Weg zum Melkstand;
- Reinigen/Spritzen der Standflächen und Abtrennungen;
- Oberflächenreinigung der Melkzeuge einschließlich Schläuche;
- Reinigung/Spritzen Melkflur;
- Reinigung/Spritzen Zu- und Abtriebe einschl. VWH;
- Reinigung/Spritzen Milchhaus;
Hängt ab von:
- Weg vom Milchhaus zum Melkstand;
- zu reinigende Flächen;
- Beschaffenheit dieser Flächen einschließlich Abflußmöglichkeiten;
- technische Ausstattung/Beschaffenheit Spülaufnahmen;
- Spritzwassertechnik, Druck, Querschnitt;
- Anspruch an die Sauberkeit;
- Geschicklichkeit
Praxismessungen liegen im Mittel bei 4,04 min je Melkplatz in einer Schwankungsbreite von 2,06 bis 8,52
</t>
        </r>
      </text>
    </comment>
    <comment ref="A67" authorId="0">
      <text>
        <r>
          <rPr>
            <sz val="8"/>
            <color indexed="81"/>
            <rFont val="Tahoma"/>
            <family val="2"/>
          </rPr>
          <t>Umfasst grundsätzlich: 
- Weg zur Bucht
- Austrieb der Kühe aus der Bucht
- Zutrieb der Kühe zum VWH
- evtl. Absperren/automatischen Treiber zurückfahren
Hängt ab von:
- Weglänge;
- Breite und Verwinkelung der Triebwege;
- Bodenbeschaffenheit;
- Gruppengröße;
- Laufbereitschaft der Tiere / lahme Kühe;
- technische Ausstattung des VWH;
- Geschicklichkeit
Praxismessungen liegen im Mittel bei 0,25 AKmin je Gemelk in einer Schwankungsbreite von 0,13 bis 0,43, wobei ein Degressionseffekt erkennbar ist (MW Gr. 1= 0,29; Gr. 2 = 0,28; Gr. 3 = 0,15)
y = 0,3053481001*e^-0,0001979929x</t>
        </r>
      </text>
    </comment>
  </commentList>
</comments>
</file>

<file path=xl/comments2.xml><?xml version="1.0" encoding="utf-8"?>
<comments xmlns="http://schemas.openxmlformats.org/spreadsheetml/2006/main">
  <authors>
    <author>Pommer, Rene - LfULG</author>
  </authors>
  <commentList>
    <comment ref="A16" authorId="0">
      <text>
        <r>
          <rPr>
            <sz val="9"/>
            <color indexed="81"/>
            <rFont val="Tahoma"/>
            <family val="2"/>
          </rPr>
          <t>je ME mit MMMG - 0,3 m²
je Endeinheit - 0,61 m²</t>
        </r>
      </text>
    </comment>
  </commentList>
</comments>
</file>

<file path=xl/comments3.xml><?xml version="1.0" encoding="utf-8"?>
<comments xmlns="http://schemas.openxmlformats.org/spreadsheetml/2006/main">
  <authors>
    <author>Henning Eckel</author>
    <author>rp10</author>
  </authors>
  <commentList>
    <comment ref="A11" authorId="0">
      <text>
        <r>
          <rPr>
            <sz val="9"/>
            <color indexed="81"/>
            <rFont val="Tahoma"/>
            <family val="2"/>
          </rPr>
          <t>DIN ISO Melkanlagen + 25 % praxisübliches Vorhalten</t>
        </r>
      </text>
    </comment>
    <comment ref="B131" authorId="1">
      <text>
        <r>
          <rPr>
            <sz val="8"/>
            <color indexed="81"/>
            <rFont val="Tahoma"/>
            <family val="2"/>
          </rPr>
          <t>nach Herstellerangaben</t>
        </r>
      </text>
    </comment>
    <comment ref="C132" authorId="1">
      <text>
        <r>
          <rPr>
            <sz val="8"/>
            <color indexed="81"/>
            <rFont val="Tahoma"/>
            <family val="2"/>
          </rPr>
          <t>wegen Verweisfunktion nächst größeren Wert verwenden</t>
        </r>
      </text>
    </comment>
    <comment ref="A149" authorId="1">
      <text>
        <r>
          <rPr>
            <sz val="8"/>
            <color indexed="81"/>
            <rFont val="Tahoma"/>
            <family val="2"/>
          </rPr>
          <t>Die notwendige Milchpumpenleistung hängt nicht nur von der Anzahl der angeschlossenen Melkzeuge ab, sondern auch von den Druckverlusten, welche ihrerseits von Druckleitungslänge und -Querschnitt, Anzahl und Gestaltung von Winkeln, Höhenunterschiede, Plattenkühler und Milchfilterbeeinflusst werden. Die exakte Berechnung der notwendigen Milchpumpenleistung ist deshalb relativ aufwendig. 
Deshalb wird nach billigem Ermessen die beigefügte Staffelung vorgeschlagen. Sie bildet die Realität der Untersuchungsbetriebe weitestgehend ab.</t>
        </r>
      </text>
    </comment>
    <comment ref="B149" authorId="1">
      <text>
        <r>
          <rPr>
            <sz val="8"/>
            <color indexed="81"/>
            <rFont val="Tahoma"/>
            <family val="2"/>
          </rPr>
          <t>nach Herstellerangaben, eine Druckleitung</t>
        </r>
      </text>
    </comment>
  </commentList>
</comments>
</file>

<file path=xl/sharedStrings.xml><?xml version="1.0" encoding="utf-8"?>
<sst xmlns="http://schemas.openxmlformats.org/spreadsheetml/2006/main" count="452" uniqueCount="230">
  <si>
    <t>Anschlusswert</t>
  </si>
  <si>
    <t>Melkplätze</t>
  </si>
  <si>
    <t>l/min</t>
  </si>
  <si>
    <t>kW</t>
  </si>
  <si>
    <t>kWh/t Milch</t>
  </si>
  <si>
    <t>Kühe/h</t>
  </si>
  <si>
    <t>h/d</t>
  </si>
  <si>
    <t>Wasserbedarf</t>
  </si>
  <si>
    <t>m</t>
  </si>
  <si>
    <t>l/h</t>
  </si>
  <si>
    <t>%</t>
  </si>
  <si>
    <t>Spülung</t>
  </si>
  <si>
    <t>tats. Fördermenge (Gegendruck/ Förderhöhe)</t>
  </si>
  <si>
    <t>lakt. Kühe</t>
  </si>
  <si>
    <t>gem. Milch</t>
  </si>
  <si>
    <t>Milch pro Tag</t>
  </si>
  <si>
    <t>Bh Spülung</t>
  </si>
  <si>
    <t>kWh/d</t>
  </si>
  <si>
    <t>Luftdurchfluss</t>
  </si>
  <si>
    <t>Milchkühe ges.</t>
  </si>
  <si>
    <t>ZKZ</t>
  </si>
  <si>
    <t>Trockenstehdauer</t>
  </si>
  <si>
    <t>melkende Kühe</t>
  </si>
  <si>
    <t>verk. Milchmenge / Kuh und Jahr</t>
  </si>
  <si>
    <t>mittleres Tagesgemelk</t>
  </si>
  <si>
    <t>Melkintervall</t>
  </si>
  <si>
    <t>kg / Melkzeit</t>
  </si>
  <si>
    <t>mittleres Minutengemelk</t>
  </si>
  <si>
    <t>durchschnittliche Melkdauer min</t>
  </si>
  <si>
    <t>Anzahl Melker</t>
  </si>
  <si>
    <t>AKmin je Seite</t>
  </si>
  <si>
    <t>Eintrieb</t>
  </si>
  <si>
    <t>Vormelken</t>
  </si>
  <si>
    <t>Euterreinigung</t>
  </si>
  <si>
    <t>Ansetzen</t>
  </si>
  <si>
    <t>Dippen</t>
  </si>
  <si>
    <t>Schnellaustrieb</t>
  </si>
  <si>
    <t>sonstige Arbeiten / Störzeiten</t>
  </si>
  <si>
    <t>Summe Bearbeitungszeit</t>
  </si>
  <si>
    <t>Prüfung, ob Bearbeitungszeit zum Melken reicht:</t>
  </si>
  <si>
    <t>Nennleistung ges.</t>
  </si>
  <si>
    <t>KW</t>
  </si>
  <si>
    <t>h</t>
  </si>
  <si>
    <t>Kühe ges.</t>
  </si>
  <si>
    <t>Durchsatz</t>
  </si>
  <si>
    <t>Energiebedarf je Melkplatz</t>
  </si>
  <si>
    <t>Faktor wg. Frequenzsteuerung</t>
  </si>
  <si>
    <t>zu reinigende Leitungslänge</t>
  </si>
  <si>
    <t>Anzahl ME</t>
  </si>
  <si>
    <t>Anzahl Endeinheiten</t>
  </si>
  <si>
    <t>mm</t>
  </si>
  <si>
    <t>Rastermaß Melkplatz</t>
  </si>
  <si>
    <t>Entfernung erster Melkplatz zur Endeinheit</t>
  </si>
  <si>
    <t>l Wasser</t>
  </si>
  <si>
    <t>Zirkulationsreinigung, ausgestattet mit Milchmengenmessgerät, ohne Vorkühlung</t>
  </si>
  <si>
    <t>je Reinigung</t>
  </si>
  <si>
    <t>Zirkulationsreinigung</t>
  </si>
  <si>
    <t>min</t>
  </si>
  <si>
    <t>Melksystem</t>
  </si>
  <si>
    <t>Vorwartehof</t>
  </si>
  <si>
    <t>Melkzeugabnahme</t>
  </si>
  <si>
    <t>Kochendwasserreinigung</t>
  </si>
  <si>
    <t>Automatische Dip- / Sprühvorrichtung</t>
  </si>
  <si>
    <t>x</t>
  </si>
  <si>
    <t>-</t>
  </si>
  <si>
    <t>Gesamtmelkdauer</t>
  </si>
  <si>
    <t>Vorbereitungsdauer</t>
  </si>
  <si>
    <t>Nachbereitungsdauer</t>
  </si>
  <si>
    <t>Schichtdauer o. Pause</t>
  </si>
  <si>
    <t>AKmin/Gemelk</t>
  </si>
  <si>
    <t>Treibarbeitszeit</t>
  </si>
  <si>
    <t>Melkstand vorbereiten</t>
  </si>
  <si>
    <t>Melken incl. Service und techn. Wartezeiten</t>
  </si>
  <si>
    <t>Nachbereitung Melkstand, Vor- und Nachwartebereich</t>
  </si>
  <si>
    <t>Treiben zum Melkstand und zurück</t>
  </si>
  <si>
    <t>Summe</t>
  </si>
  <si>
    <t>Anzahl Melkstandseiten / Ringe</t>
  </si>
  <si>
    <t>ungestörte Arbeitsdauer bis Dippen 1. Kuh</t>
  </si>
  <si>
    <t>durchschnittliche Melkdauer einer Kuh</t>
  </si>
  <si>
    <t>Durchsatz und Schichtzeit</t>
  </si>
  <si>
    <t>AKmin/Schicht</t>
  </si>
  <si>
    <t>min/Schicht</t>
  </si>
  <si>
    <t>Vorbereitungs-Arbeitszeit</t>
  </si>
  <si>
    <t>h/Schicht</t>
  </si>
  <si>
    <t>Melkintervall (Schichten)</t>
  </si>
  <si>
    <t>Bearbeitungszeit zweite Seite komplett</t>
  </si>
  <si>
    <t>LDF l/min</t>
  </si>
  <si>
    <t>Anschlußwert KW</t>
  </si>
  <si>
    <t>Nennleistungen Vakuumpumpen</t>
  </si>
  <si>
    <t>Faktor Spülung</t>
  </si>
  <si>
    <t>MPl</t>
  </si>
  <si>
    <t>Nennförderstrom Plattenkühler</t>
  </si>
  <si>
    <t>Druckverlust Plattenkühler</t>
  </si>
  <si>
    <t>Druckverlust Milchdruckfilter</t>
  </si>
  <si>
    <t>Gemelke je Tag</t>
  </si>
  <si>
    <t>kW Festlegung</t>
  </si>
  <si>
    <t>Anschlusswert Milchpumpe</t>
  </si>
  <si>
    <t>l/d</t>
  </si>
  <si>
    <t>Milchmenge je Tag</t>
  </si>
  <si>
    <t>Bh Melken</t>
  </si>
  <si>
    <t>Bh ges</t>
  </si>
  <si>
    <t>Laufzeit der Pumpe während der Spülung</t>
  </si>
  <si>
    <t>kWh/Gemelk</t>
  </si>
  <si>
    <t>spez. Wärmekapazität Wasser</t>
  </si>
  <si>
    <t>Ausgangstemperatur Kaltwasser</t>
  </si>
  <si>
    <t>°C</t>
  </si>
  <si>
    <t>Anzahl Gemelke je Tag</t>
  </si>
  <si>
    <t>Spülungen je Tag</t>
  </si>
  <si>
    <t>Energiebedarf Wasserermärmung</t>
  </si>
  <si>
    <t>Vorlauftemperatur Spülung</t>
  </si>
  <si>
    <t>Beleuchtungsdauer je Tag</t>
  </si>
  <si>
    <t>Gemelke</t>
  </si>
  <si>
    <t>Standzeiten während der Melkzeit</t>
  </si>
  <si>
    <t>Leistung Antrieb</t>
  </si>
  <si>
    <t>Melkdauer</t>
  </si>
  <si>
    <t>Drehdauer Kar.</t>
  </si>
  <si>
    <t>Schichten je Tag</t>
  </si>
  <si>
    <t>Betriebsstunden je Tag</t>
  </si>
  <si>
    <t>l/Gemelk</t>
  </si>
  <si>
    <t>Anzahl Gemelke</t>
  </si>
  <si>
    <t>Temperatur WW</t>
  </si>
  <si>
    <t>1 AMS-Box</t>
  </si>
  <si>
    <t>Melkzeugzwischendesinfektion</t>
  </si>
  <si>
    <t>l/Spülung</t>
  </si>
  <si>
    <t>l Wasser je Tag</t>
  </si>
  <si>
    <t>dar. Heißwasser</t>
  </si>
  <si>
    <t>Heißwasserbedarf</t>
  </si>
  <si>
    <t>bis</t>
  </si>
  <si>
    <t>notw. Förderstrom Qn (l/h)</t>
  </si>
  <si>
    <t>rel. Druckverlust mWS/100</t>
  </si>
  <si>
    <t>Mindest-Förderstrom l/h Festlegung</t>
  </si>
  <si>
    <t>Mindest-Förderstrom</t>
  </si>
  <si>
    <t>Vorbereitungszeit variabel</t>
  </si>
  <si>
    <t>Vorbereitungszeit fix</t>
  </si>
  <si>
    <t>Nachbereitungszeit variabel</t>
  </si>
  <si>
    <t>Nachbereitungszeit fix</t>
  </si>
  <si>
    <t>2. WW für Euterdusche und Standplatzreinigung während des Melkens bzw. Euterreinigung</t>
  </si>
  <si>
    <t>Kar IM 24</t>
  </si>
  <si>
    <t>Kar IM 20</t>
  </si>
  <si>
    <t>Kar IM 28</t>
  </si>
  <si>
    <t>Kar IM 36</t>
  </si>
  <si>
    <t>Kar AM 48</t>
  </si>
  <si>
    <t>Kar AM 60</t>
  </si>
  <si>
    <t>Kar AM 72</t>
  </si>
  <si>
    <t>Vakuumversorgung</t>
  </si>
  <si>
    <t>Milchpumpe</t>
  </si>
  <si>
    <t>Warmwasser für Spülung</t>
  </si>
  <si>
    <t>Beleuchtung Melkstand</t>
  </si>
  <si>
    <t>Kompressoren für Druckluft</t>
  </si>
  <si>
    <t>Antrieb Karussell</t>
  </si>
  <si>
    <t>Warmwasser für Euterduschen etc.</t>
  </si>
  <si>
    <t>Innendurchmesser Melkleitung</t>
  </si>
  <si>
    <t>Innendurchmesser Druckleitung</t>
  </si>
  <si>
    <t>Laufzeitzeit</t>
  </si>
  <si>
    <t>Energiebedarf</t>
  </si>
  <si>
    <t>Dipproboter</t>
  </si>
  <si>
    <t>Leistung</t>
  </si>
  <si>
    <t>Anteil Wassererwärmung</t>
  </si>
  <si>
    <t>Tierdaten und Melkkarussellausstattung</t>
  </si>
  <si>
    <t>Stück</t>
  </si>
  <si>
    <t>Zwischenkalbezeit</t>
  </si>
  <si>
    <t>Tage</t>
  </si>
  <si>
    <t>laktierende Kühe</t>
  </si>
  <si>
    <t>erzeugte Milchmenge</t>
  </si>
  <si>
    <t>kg/(Kuh*a)</t>
  </si>
  <si>
    <t>Tagesmilchmenge</t>
  </si>
  <si>
    <t>kg/d</t>
  </si>
  <si>
    <t>kg/(lakt. Kuh*d)</t>
  </si>
  <si>
    <t>n</t>
  </si>
  <si>
    <t>Milchmenge je Gemelk</t>
  </si>
  <si>
    <t>kg/Gemelk</t>
  </si>
  <si>
    <t>kg/min</t>
  </si>
  <si>
    <t>durchschnittliche Melkdauer</t>
  </si>
  <si>
    <t>Modell</t>
  </si>
  <si>
    <t>Ausstattung (informativ)</t>
  </si>
  <si>
    <t>offen</t>
  </si>
  <si>
    <t xml:space="preserve">Melkplätze </t>
  </si>
  <si>
    <t>frei bleibende Plätze Austrieb bis Ansetzen</t>
  </si>
  <si>
    <t>Arbeitsaufwand einzelner Arbeitsschritte beim Melken (modifiziert nach Heidenreich)</t>
  </si>
  <si>
    <t>Bearbeitungszeiten je Umdrehung</t>
  </si>
  <si>
    <t>verfügbare Melkdauer für eine Kuh</t>
  </si>
  <si>
    <t>Dauer eines vollständigen Kuhwechsels (Umdrehung)</t>
  </si>
  <si>
    <t>Anzahl Umdrehungen</t>
  </si>
  <si>
    <t>Vorbereitungszeit gesamt</t>
  </si>
  <si>
    <t>AKmin/(MPl*Schicht)</t>
  </si>
  <si>
    <t>Nachbereitungszeit gesamt</t>
  </si>
  <si>
    <t>Schichtdauer ohne Pause</t>
  </si>
  <si>
    <t>tägliche Melkarbeitszeit</t>
  </si>
  <si>
    <t>AKh/d</t>
  </si>
  <si>
    <t>Melkarbeitszeit je Gemelk</t>
  </si>
  <si>
    <t>Melkarbeitszeit je Kuh und Jahr</t>
  </si>
  <si>
    <t>AKh/(Kuh*a)</t>
  </si>
  <si>
    <t>Gemelke je eingesetzte Melk-AKh</t>
  </si>
  <si>
    <t>Gemelke/AKh</t>
  </si>
  <si>
    <t>1. Theoretischer Spülwasserbedarf je Reinigung nach AEL, Merkblatt 25/97</t>
  </si>
  <si>
    <t>Länge Druckleitungen gesamt</t>
  </si>
  <si>
    <t>zu reinigende Innenoberfläche milchführender Teile</t>
  </si>
  <si>
    <t>m²</t>
  </si>
  <si>
    <t>Gemelke/d</t>
  </si>
  <si>
    <t>Wasserbedarf je Gemelk</t>
  </si>
  <si>
    <t>Wasserbedarf je Tag</t>
  </si>
  <si>
    <t>kg(Kuh*a)</t>
  </si>
  <si>
    <t>Kg/d</t>
  </si>
  <si>
    <t>KWh/Gemelk</t>
  </si>
  <si>
    <t>kWh/(Kuh*a)</t>
  </si>
  <si>
    <t>KWh/(kg*K)</t>
  </si>
  <si>
    <t>KWh/Reinigung</t>
  </si>
  <si>
    <t>Anzahl Reinigungen/d</t>
  </si>
  <si>
    <t>n/d</t>
  </si>
  <si>
    <t>Reinigung und Desinfektion der Melkanlage mit Zirkulationsreinigung</t>
  </si>
  <si>
    <t>Beleuchtung Melkstand incl. Vorwartebereich und Zutrieb</t>
  </si>
  <si>
    <t>Installierte Leistung</t>
  </si>
  <si>
    <t>W/MPl.</t>
  </si>
  <si>
    <t>Wh/Gemelk</t>
  </si>
  <si>
    <t>Kompressoren für Druckluft (MZ-Zwischendesinfektion "Airwash")</t>
  </si>
  <si>
    <t>Erwärmung von Wasser für Euterduschen etc.</t>
  </si>
  <si>
    <t>Summe Energiebedarf Milchgewinnung</t>
  </si>
  <si>
    <t>Grün hinterlegte Felder enthalten Zwischen- oder Endergebnisse und können nicht überschrieben werden.</t>
  </si>
  <si>
    <t>Gelb hinterlegte Felder enthalten Zwischenergebnisse, die an dieser Stelle überschrieben werden können. (Achtung, dabei werden auch Formeln gelöscht!)</t>
  </si>
  <si>
    <t>Blau hinterlegte Felder sind Eingabefelder.</t>
  </si>
  <si>
    <t>Zur Überprüfung und Abschätzung weiterer Varianten steht eine "offene Spalte" zur Verfügung. Hier eingetragene Annahmen können geändert werden.</t>
  </si>
  <si>
    <t>Die Untersuchungen wurde durch das KTBL im Rahmen des Kalkulationsunterlagen-Programms gefördert.</t>
  </si>
  <si>
    <t>Der Wasserbedarf wurde in Anlehnung an das AEL-Merkblatt 25/97, Herstellerangaben und eigene Messungen kalkuliert.</t>
  </si>
  <si>
    <t>Für Reinigungsprozesse ist warmes Wasser unabdingbar. In der Kalkulation ist die zur Erwärmung notwendige Energie enthalten, die Energiequelle ist für den Systemvergleich irrelevant.</t>
  </si>
  <si>
    <t>Als Basis für die Betriebsstundenberechnung wurden die Melkzeiten anhand der einzelnen Arbeitsschritte kalkuliert. Die berechneten Zeiten entsprechen einem "guten Durchschnitt".</t>
  </si>
  <si>
    <t>Die Anschlussleistungen der einzelnen Stromverbraucher entsprechen Herstellerangaben und repräsentieren der Stand in der Praxis im Jahr 2013.</t>
  </si>
  <si>
    <t>Die Kalkulationsmodelle wurden mit dem Ziel erstellt, Orientierungswerte zum Energiebedarf der Milchgewinnung mit verschiedenen Melkanlagen zu geben.</t>
  </si>
  <si>
    <t>Energiebedarf Milchgewinnung</t>
  </si>
  <si>
    <t>Wasserbedarf Milchgewinnung</t>
  </si>
  <si>
    <t>Arbeitszeit Prozessabschnitt Milchgewinnung</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</si>
</sst>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0.0"/>
    <numFmt numFmtId="165" formatCode="_([$€]* #,##0.00_);_([$€]* \(#,##0.00\);_([$€]* &quot;-&quot;??_);_(@_)"/>
    <numFmt numFmtId="166" formatCode="#,##0.0"/>
    <numFmt numFmtId="167" formatCode="#,##0.000"/>
    <numFmt numFmtId="168" formatCode="#,##0.00000"/>
    <numFmt numFmtId="169" formatCode="#,##0.0_ ;\-#,##0.0\ "/>
  </numFmts>
  <fonts count="32" x14ac:knownFonts="1">
    <font>
      <sz val="11"/>
      <color theme="1"/>
      <name val="Calibri"/>
      <family val="2"/>
      <scheme val="minor"/>
    </font>
    <font>
      <sz val="11"/>
      <color theme="1"/>
      <name val="Arial"/>
      <family val="2"/>
    </font>
    <font>
      <b/>
      <sz val="10"/>
      <name val="Arial"/>
      <family val="2"/>
    </font>
    <font>
      <sz val="10"/>
      <name val="Arial"/>
      <family val="2"/>
    </font>
    <font>
      <sz val="12"/>
      <name val="Arial"/>
      <family val="2"/>
    </font>
    <font>
      <sz val="9"/>
      <color indexed="81"/>
      <name val="Tahoma"/>
      <family val="2"/>
    </font>
    <font>
      <sz val="8"/>
      <name val="Calibri"/>
      <family val="2"/>
    </font>
    <font>
      <sz val="8"/>
      <color indexed="81"/>
      <name val="Tahoma"/>
      <family val="2"/>
    </font>
    <font>
      <sz val="10"/>
      <name val="Arial"/>
      <family val="2"/>
    </font>
    <font>
      <sz val="8"/>
      <name val="Arial"/>
      <family val="2"/>
    </font>
    <font>
      <b/>
      <sz val="11"/>
      <name val="Arial"/>
      <family val="2"/>
    </font>
    <font>
      <sz val="11"/>
      <color rgb="FF006100"/>
      <name val="Calibri"/>
      <family val="2"/>
      <scheme val="minor"/>
    </font>
    <font>
      <b/>
      <sz val="14"/>
      <name val="Arial"/>
      <family val="2"/>
    </font>
    <font>
      <sz val="8"/>
      <color theme="1"/>
      <name val="Calibri"/>
      <family val="2"/>
      <scheme val="minor"/>
    </font>
    <font>
      <sz val="11"/>
      <color theme="1"/>
      <name val="Calibri"/>
      <family val="2"/>
      <scheme val="minor"/>
    </font>
    <font>
      <sz val="9"/>
      <name val="Arial"/>
      <family val="2"/>
    </font>
    <font>
      <b/>
      <sz val="14"/>
      <color indexed="8"/>
      <name val="Arial"/>
      <family val="2"/>
    </font>
    <font>
      <sz val="11"/>
      <color indexed="8"/>
      <name val="Arial"/>
      <family val="2"/>
    </font>
    <font>
      <sz val="11"/>
      <name val="Arial"/>
      <family val="2"/>
    </font>
    <font>
      <sz val="12"/>
      <color indexed="81"/>
      <name val="Tahoma"/>
      <family val="2"/>
    </font>
    <font>
      <b/>
      <sz val="9"/>
      <name val="Arial"/>
      <family val="2"/>
    </font>
    <font>
      <sz val="10"/>
      <color theme="1"/>
      <name val="Arial"/>
      <family val="2"/>
    </font>
    <font>
      <sz val="10"/>
      <color indexed="8"/>
      <name val="Arial"/>
      <family val="2"/>
    </font>
    <font>
      <sz val="14"/>
      <color theme="1"/>
      <name val="Arial"/>
      <family val="2"/>
    </font>
    <font>
      <b/>
      <sz val="10"/>
      <color theme="0" tint="-0.14999847407452621"/>
      <name val="Arial"/>
      <family val="2"/>
    </font>
    <font>
      <sz val="10"/>
      <color theme="0" tint="-0.14999847407452621"/>
      <name val="Arial"/>
      <family val="2"/>
    </font>
    <font>
      <sz val="14"/>
      <name val="Arial"/>
      <family val="2"/>
    </font>
    <font>
      <sz val="8"/>
      <color theme="1"/>
      <name val="Arial"/>
      <family val="2"/>
    </font>
    <font>
      <b/>
      <sz val="8"/>
      <name val="Arial"/>
      <family val="2"/>
    </font>
    <font>
      <sz val="8"/>
      <color indexed="8"/>
      <name val="Arial"/>
      <family val="2"/>
    </font>
    <font>
      <sz val="8"/>
      <color theme="0" tint="-0.14999847407452621"/>
      <name val="Arial"/>
      <family val="2"/>
    </font>
    <font>
      <b/>
      <sz val="8"/>
      <color theme="0" tint="-0.14999847407452621"/>
      <name val="Arial"/>
      <family val="2"/>
    </font>
  </fonts>
  <fills count="15">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13"/>
        <bgColor indexed="64"/>
      </patternFill>
    </fill>
    <fill>
      <patternFill patternType="solid">
        <fgColor indexed="43"/>
        <bgColor indexed="64"/>
      </patternFill>
    </fill>
    <fill>
      <patternFill patternType="solid">
        <fgColor indexed="27"/>
        <bgColor indexed="64"/>
      </patternFill>
    </fill>
    <fill>
      <patternFill patternType="solid">
        <fgColor rgb="FFC6EFCE"/>
      </patternFill>
    </fill>
    <fill>
      <patternFill patternType="solid">
        <fgColor rgb="FFCCFFFF"/>
        <bgColor indexed="64"/>
      </patternFill>
    </fill>
    <fill>
      <patternFill patternType="solid">
        <fgColor rgb="FFFFFF00"/>
        <bgColor indexed="64"/>
      </patternFill>
    </fill>
    <fill>
      <patternFill patternType="solid">
        <fgColor rgb="FFCCFFCC"/>
        <bgColor indexed="64"/>
      </patternFill>
    </fill>
    <fill>
      <patternFill patternType="solid">
        <fgColor rgb="FFFFFFCC"/>
        <bgColor indexed="64"/>
      </patternFill>
    </fill>
    <fill>
      <patternFill patternType="solid">
        <fgColor rgb="FFFF99FF"/>
        <bgColor indexed="64"/>
      </patternFill>
    </fill>
    <fill>
      <patternFill patternType="solid">
        <fgColor rgb="FFFFCCFF"/>
        <bgColor indexed="64"/>
      </patternFill>
    </fill>
    <fill>
      <patternFill patternType="solid">
        <fgColor rgb="FF66CCFF"/>
        <bgColor indexed="64"/>
      </patternFill>
    </fill>
  </fills>
  <borders count="20">
    <border>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diagonal/>
    </border>
  </borders>
  <cellStyleXfs count="7">
    <xf numFmtId="0" fontId="0" fillId="0" borderId="0"/>
    <xf numFmtId="165" fontId="8" fillId="0" borderId="0" applyFont="0" applyFill="0" applyBorder="0" applyAlignment="0" applyProtection="0"/>
    <xf numFmtId="0" fontId="11" fillId="7" borderId="0" applyNumberFormat="0" applyBorder="0" applyAlignment="0" applyProtection="0"/>
    <xf numFmtId="0" fontId="8" fillId="0" borderId="0"/>
    <xf numFmtId="0" fontId="3" fillId="0" borderId="0"/>
    <xf numFmtId="0" fontId="3" fillId="0" borderId="0"/>
    <xf numFmtId="43" fontId="14" fillId="0" borderId="0" applyFont="0" applyFill="0" applyBorder="0" applyAlignment="0" applyProtection="0"/>
  </cellStyleXfs>
  <cellXfs count="393">
    <xf numFmtId="0" fontId="0" fillId="0" borderId="0" xfId="0"/>
    <xf numFmtId="0" fontId="3" fillId="0" borderId="0" xfId="3" applyFont="1"/>
    <xf numFmtId="0" fontId="3" fillId="0" borderId="3" xfId="3" applyFont="1" applyFill="1" applyBorder="1" applyAlignment="1" applyProtection="1">
      <alignment vertical="center"/>
    </xf>
    <xf numFmtId="0" fontId="3" fillId="0" borderId="4" xfId="3" applyFont="1" applyFill="1" applyBorder="1" applyAlignment="1" applyProtection="1">
      <alignment vertical="center"/>
    </xf>
    <xf numFmtId="0" fontId="3" fillId="0" borderId="4" xfId="3" applyFont="1" applyFill="1" applyBorder="1" applyAlignment="1" applyProtection="1">
      <alignment horizontal="center" vertical="center"/>
    </xf>
    <xf numFmtId="0" fontId="3" fillId="0" borderId="5" xfId="3" applyFont="1" applyFill="1" applyBorder="1" applyAlignment="1" applyProtection="1">
      <alignment vertical="center"/>
    </xf>
    <xf numFmtId="0" fontId="3" fillId="0" borderId="5" xfId="3" applyFont="1" applyFill="1" applyBorder="1" applyAlignment="1" applyProtection="1">
      <alignment horizontal="center" vertical="center"/>
    </xf>
    <xf numFmtId="0" fontId="3" fillId="9" borderId="3" xfId="3" applyFont="1" applyFill="1" applyBorder="1" applyAlignment="1" applyProtection="1">
      <alignment vertical="center"/>
    </xf>
    <xf numFmtId="0" fontId="18" fillId="9" borderId="5" xfId="3" applyFont="1" applyFill="1" applyBorder="1" applyAlignment="1" applyProtection="1">
      <alignment vertical="center"/>
    </xf>
    <xf numFmtId="0" fontId="3" fillId="8" borderId="3" xfId="3" applyFont="1" applyFill="1" applyBorder="1" applyAlignment="1" applyProtection="1">
      <alignment horizontal="center" vertical="center"/>
      <protection locked="0"/>
    </xf>
    <xf numFmtId="0" fontId="3" fillId="9" borderId="3" xfId="3" applyFont="1" applyFill="1" applyBorder="1" applyAlignment="1" applyProtection="1">
      <alignment horizontal="center" vertical="center"/>
    </xf>
    <xf numFmtId="0" fontId="18" fillId="8" borderId="5" xfId="3" applyFont="1" applyFill="1" applyBorder="1" applyAlignment="1" applyProtection="1">
      <alignment horizontal="center" vertical="center"/>
      <protection locked="0"/>
    </xf>
    <xf numFmtId="0" fontId="18" fillId="9" borderId="5" xfId="3" applyFont="1" applyFill="1" applyBorder="1" applyAlignment="1" applyProtection="1">
      <alignment horizontal="center" vertical="center"/>
    </xf>
    <xf numFmtId="3" fontId="3" fillId="2" borderId="3" xfId="3" applyNumberFormat="1" applyFont="1" applyFill="1" applyBorder="1" applyAlignment="1" applyProtection="1">
      <alignment horizontal="center" vertical="center"/>
      <protection locked="0"/>
    </xf>
    <xf numFmtId="3" fontId="3" fillId="0" borderId="3" xfId="3" applyNumberFormat="1" applyFont="1" applyFill="1" applyBorder="1" applyAlignment="1" applyProtection="1">
      <alignment horizontal="center" vertical="center"/>
    </xf>
    <xf numFmtId="0" fontId="3" fillId="2" borderId="4" xfId="3" applyFont="1" applyFill="1" applyBorder="1" applyAlignment="1" applyProtection="1">
      <alignment horizontal="center" vertical="center"/>
      <protection locked="0"/>
    </xf>
    <xf numFmtId="3" fontId="3" fillId="11" borderId="4" xfId="3" applyNumberFormat="1" applyFont="1" applyFill="1" applyBorder="1" applyAlignment="1" applyProtection="1">
      <alignment horizontal="center" vertical="center"/>
      <protection locked="0"/>
    </xf>
    <xf numFmtId="3" fontId="3" fillId="0" borderId="4" xfId="3" applyNumberFormat="1" applyFont="1" applyFill="1" applyBorder="1" applyAlignment="1" applyProtection="1">
      <alignment horizontal="center" vertical="center"/>
    </xf>
    <xf numFmtId="3" fontId="3" fillId="2" borderId="4" xfId="3" applyNumberFormat="1" applyFont="1" applyFill="1" applyBorder="1" applyAlignment="1" applyProtection="1">
      <alignment horizontal="center" vertical="center"/>
      <protection locked="0"/>
    </xf>
    <xf numFmtId="3" fontId="3" fillId="3" borderId="4" xfId="3" applyNumberFormat="1" applyFont="1" applyFill="1" applyBorder="1" applyAlignment="1" applyProtection="1">
      <alignment horizontal="center" vertical="center"/>
    </xf>
    <xf numFmtId="164" fontId="3" fillId="3" borderId="4" xfId="3" applyNumberFormat="1" applyFont="1" applyFill="1" applyBorder="1" applyAlignment="1" applyProtection="1">
      <alignment horizontal="center" vertical="center"/>
    </xf>
    <xf numFmtId="164" fontId="3" fillId="0" borderId="4" xfId="3" applyNumberFormat="1" applyFont="1" applyFill="1" applyBorder="1" applyAlignment="1" applyProtection="1">
      <alignment horizontal="center" vertical="center"/>
    </xf>
    <xf numFmtId="1" fontId="3" fillId="6" borderId="4" xfId="3" applyNumberFormat="1" applyFont="1" applyFill="1" applyBorder="1" applyAlignment="1" applyProtection="1">
      <alignment horizontal="center" vertical="center"/>
      <protection locked="0"/>
    </xf>
    <xf numFmtId="1" fontId="3" fillId="0" borderId="4" xfId="3" applyNumberFormat="1" applyFont="1" applyFill="1" applyBorder="1" applyAlignment="1" applyProtection="1">
      <alignment horizontal="center" vertical="center"/>
    </xf>
    <xf numFmtId="164" fontId="3" fillId="2" borderId="4" xfId="3" applyNumberFormat="1" applyFont="1" applyFill="1" applyBorder="1" applyAlignment="1" applyProtection="1">
      <alignment horizontal="center" vertical="center"/>
      <protection locked="0"/>
    </xf>
    <xf numFmtId="0" fontId="3" fillId="2" borderId="5" xfId="3" applyFont="1" applyFill="1" applyBorder="1" applyAlignment="1" applyProtection="1">
      <alignment horizontal="center" vertical="center"/>
      <protection locked="0"/>
    </xf>
    <xf numFmtId="0" fontId="3" fillId="0" borderId="0" xfId="3" applyFont="1" applyAlignment="1" applyProtection="1">
      <alignment vertical="center"/>
    </xf>
    <xf numFmtId="0" fontId="3" fillId="0" borderId="3" xfId="3" applyFont="1" applyBorder="1" applyAlignment="1" applyProtection="1">
      <alignment vertical="center"/>
    </xf>
    <xf numFmtId="164" fontId="3" fillId="8" borderId="3" xfId="3" applyNumberFormat="1" applyFont="1" applyFill="1" applyBorder="1" applyAlignment="1" applyProtection="1">
      <alignment horizontal="center" vertical="center"/>
      <protection locked="0"/>
    </xf>
    <xf numFmtId="164" fontId="3" fillId="0" borderId="3" xfId="3" applyNumberFormat="1" applyFont="1" applyFill="1" applyBorder="1" applyAlignment="1" applyProtection="1">
      <alignment horizontal="center" vertical="center"/>
    </xf>
    <xf numFmtId="0" fontId="3" fillId="0" borderId="4" xfId="3" applyFont="1" applyBorder="1" applyAlignment="1" applyProtection="1">
      <alignment vertical="center"/>
    </xf>
    <xf numFmtId="164" fontId="3" fillId="8" borderId="4" xfId="3" applyNumberFormat="1" applyFont="1" applyFill="1" applyBorder="1" applyAlignment="1" applyProtection="1">
      <alignment horizontal="center" vertical="center"/>
      <protection locked="0"/>
    </xf>
    <xf numFmtId="0" fontId="3" fillId="0" borderId="5" xfId="3" applyFont="1" applyBorder="1" applyAlignment="1" applyProtection="1">
      <alignment vertical="center"/>
    </xf>
    <xf numFmtId="164" fontId="3" fillId="8" borderId="5" xfId="3" applyNumberFormat="1" applyFont="1" applyFill="1" applyBorder="1" applyAlignment="1" applyProtection="1">
      <alignment horizontal="center" vertical="center"/>
      <protection locked="0"/>
    </xf>
    <xf numFmtId="164" fontId="3" fillId="0" borderId="5" xfId="3" applyNumberFormat="1" applyFont="1" applyFill="1" applyBorder="1" applyAlignment="1" applyProtection="1">
      <alignment horizontal="center" vertical="center"/>
    </xf>
    <xf numFmtId="0" fontId="12" fillId="0" borderId="0" xfId="3" applyFont="1" applyAlignment="1" applyProtection="1">
      <alignment vertical="center"/>
    </xf>
    <xf numFmtId="0" fontId="3" fillId="0" borderId="0" xfId="3" applyFont="1" applyAlignment="1">
      <alignment vertical="center"/>
    </xf>
    <xf numFmtId="0" fontId="18" fillId="0" borderId="0" xfId="3" applyFont="1"/>
    <xf numFmtId="0" fontId="26" fillId="0" borderId="0" xfId="3" applyFont="1" applyAlignment="1" applyProtection="1">
      <alignment vertical="center"/>
    </xf>
    <xf numFmtId="0" fontId="26" fillId="0" borderId="0" xfId="3" applyFont="1"/>
    <xf numFmtId="0" fontId="20" fillId="0" borderId="0" xfId="3" applyFont="1" applyAlignment="1" applyProtection="1">
      <alignment vertical="center"/>
    </xf>
    <xf numFmtId="0" fontId="15" fillId="0" borderId="0" xfId="3" applyFont="1"/>
    <xf numFmtId="0" fontId="18" fillId="9" borderId="10" xfId="3" applyFont="1" applyFill="1" applyBorder="1" applyAlignment="1" applyProtection="1">
      <alignment vertical="center"/>
    </xf>
    <xf numFmtId="0" fontId="18" fillId="9" borderId="11" xfId="3" applyFont="1" applyFill="1" applyBorder="1" applyAlignment="1" applyProtection="1">
      <alignment vertical="center"/>
    </xf>
    <xf numFmtId="0" fontId="16" fillId="0" borderId="0" xfId="0" applyFont="1" applyAlignment="1" applyProtection="1">
      <alignment vertical="center"/>
      <protection hidden="1"/>
    </xf>
    <xf numFmtId="0" fontId="23" fillId="0" borderId="0" xfId="0" applyFont="1" applyAlignment="1" applyProtection="1">
      <alignment vertical="center"/>
      <protection hidden="1"/>
    </xf>
    <xf numFmtId="0" fontId="22" fillId="9" borderId="3" xfId="0" applyFont="1" applyFill="1" applyBorder="1" applyAlignment="1" applyProtection="1">
      <alignment horizontal="left" vertical="center"/>
      <protection hidden="1"/>
    </xf>
    <xf numFmtId="0" fontId="21" fillId="9" borderId="3" xfId="0" applyFont="1" applyFill="1" applyBorder="1" applyAlignment="1" applyProtection="1">
      <alignment horizontal="center" vertical="center"/>
      <protection hidden="1"/>
    </xf>
    <xf numFmtId="0" fontId="21" fillId="0" borderId="0" xfId="0" applyFont="1" applyAlignment="1" applyProtection="1">
      <alignment vertical="center"/>
      <protection hidden="1"/>
    </xf>
    <xf numFmtId="0" fontId="1" fillId="9" borderId="4" xfId="0" applyFont="1" applyFill="1" applyBorder="1" applyAlignment="1" applyProtection="1">
      <alignment horizontal="left" vertical="center"/>
      <protection hidden="1"/>
    </xf>
    <xf numFmtId="0" fontId="17" fillId="9" borderId="4" xfId="0" applyFont="1" applyFill="1" applyBorder="1" applyAlignment="1" applyProtection="1">
      <alignment horizontal="center" vertical="center"/>
      <protection hidden="1"/>
    </xf>
    <xf numFmtId="0" fontId="1" fillId="0" borderId="0" xfId="0" applyFont="1" applyAlignment="1" applyProtection="1">
      <alignment vertical="center"/>
      <protection hidden="1"/>
    </xf>
    <xf numFmtId="0" fontId="21" fillId="9" borderId="4" xfId="0" applyFont="1" applyFill="1" applyBorder="1" applyAlignment="1" applyProtection="1">
      <alignment horizontal="left" vertical="center"/>
      <protection hidden="1"/>
    </xf>
    <xf numFmtId="3" fontId="22" fillId="9" borderId="4" xfId="0" applyNumberFormat="1" applyFont="1" applyFill="1" applyBorder="1" applyAlignment="1" applyProtection="1">
      <alignment horizontal="center" vertical="center"/>
      <protection hidden="1"/>
    </xf>
    <xf numFmtId="0" fontId="21" fillId="9" borderId="5" xfId="0" applyFont="1" applyFill="1" applyBorder="1" applyAlignment="1" applyProtection="1">
      <alignment horizontal="left" vertical="center"/>
      <protection hidden="1"/>
    </xf>
    <xf numFmtId="3" fontId="22" fillId="9" borderId="5" xfId="0" applyNumberFormat="1" applyFont="1" applyFill="1" applyBorder="1" applyAlignment="1" applyProtection="1">
      <alignment horizontal="center" vertical="center"/>
      <protection hidden="1"/>
    </xf>
    <xf numFmtId="3" fontId="21" fillId="0" borderId="0" xfId="0" applyNumberFormat="1" applyFont="1" applyAlignment="1" applyProtection="1">
      <alignment vertical="center"/>
      <protection hidden="1"/>
    </xf>
    <xf numFmtId="0" fontId="10" fillId="9" borderId="9" xfId="3" applyFont="1" applyFill="1" applyBorder="1" applyAlignment="1" applyProtection="1">
      <alignment vertical="center"/>
      <protection hidden="1"/>
    </xf>
    <xf numFmtId="0" fontId="18" fillId="9" borderId="10" xfId="3" applyFont="1" applyFill="1" applyBorder="1" applyAlignment="1" applyProtection="1">
      <alignment vertical="center"/>
      <protection hidden="1"/>
    </xf>
    <xf numFmtId="0" fontId="18" fillId="9" borderId="11" xfId="3" applyFont="1" applyFill="1" applyBorder="1" applyAlignment="1" applyProtection="1">
      <alignment vertical="center"/>
      <protection hidden="1"/>
    </xf>
    <xf numFmtId="0" fontId="18" fillId="0" borderId="0" xfId="3" applyFont="1" applyProtection="1">
      <protection hidden="1"/>
    </xf>
    <xf numFmtId="0" fontId="22" fillId="0" borderId="3" xfId="0" applyFont="1" applyFill="1" applyBorder="1" applyAlignment="1" applyProtection="1">
      <alignment vertical="center" wrapText="1"/>
      <protection hidden="1"/>
    </xf>
    <xf numFmtId="0" fontId="3" fillId="3" borderId="3" xfId="2" applyFont="1" applyFill="1" applyBorder="1" applyAlignment="1" applyProtection="1">
      <alignment horizontal="center" vertical="center"/>
      <protection hidden="1"/>
    </xf>
    <xf numFmtId="0" fontId="3" fillId="0" borderId="3" xfId="2" applyFont="1" applyFill="1" applyBorder="1" applyAlignment="1" applyProtection="1">
      <alignment horizontal="center" vertical="center"/>
      <protection hidden="1"/>
    </xf>
    <xf numFmtId="0" fontId="22" fillId="0" borderId="4" xfId="0" applyFont="1" applyFill="1" applyBorder="1" applyAlignment="1" applyProtection="1">
      <alignment vertical="center" wrapText="1"/>
      <protection hidden="1"/>
    </xf>
    <xf numFmtId="3" fontId="3" fillId="11" borderId="4" xfId="2" applyNumberFormat="1" applyFont="1" applyFill="1" applyBorder="1" applyAlignment="1" applyProtection="1">
      <alignment horizontal="center" vertical="center"/>
      <protection locked="0" hidden="1"/>
    </xf>
    <xf numFmtId="3" fontId="3" fillId="0" borderId="4" xfId="2" applyNumberFormat="1" applyFont="1" applyFill="1" applyBorder="1" applyAlignment="1" applyProtection="1">
      <alignment horizontal="center" vertical="center"/>
      <protection hidden="1"/>
    </xf>
    <xf numFmtId="164" fontId="21" fillId="11" borderId="4" xfId="0" applyNumberFormat="1" applyFont="1" applyFill="1" applyBorder="1" applyAlignment="1" applyProtection="1">
      <alignment horizontal="center" vertical="center"/>
      <protection locked="0" hidden="1"/>
    </xf>
    <xf numFmtId="164" fontId="21" fillId="0" borderId="4" xfId="0" applyNumberFormat="1" applyFont="1" applyFill="1" applyBorder="1" applyAlignment="1" applyProtection="1">
      <alignment horizontal="center" vertical="center"/>
      <protection hidden="1"/>
    </xf>
    <xf numFmtId="0" fontId="21" fillId="6" borderId="4" xfId="0" applyFont="1" applyFill="1" applyBorder="1" applyAlignment="1" applyProtection="1">
      <alignment horizontal="center" vertical="center"/>
      <protection locked="0" hidden="1"/>
    </xf>
    <xf numFmtId="0" fontId="21" fillId="0" borderId="4" xfId="0" applyFont="1" applyFill="1" applyBorder="1" applyAlignment="1" applyProtection="1">
      <alignment horizontal="center" vertical="center"/>
      <protection hidden="1"/>
    </xf>
    <xf numFmtId="0" fontId="3" fillId="0" borderId="4" xfId="0" applyFont="1" applyFill="1" applyBorder="1" applyAlignment="1" applyProtection="1">
      <alignment vertical="center" wrapText="1"/>
      <protection hidden="1"/>
    </xf>
    <xf numFmtId="164" fontId="3" fillId="11" borderId="4" xfId="0" applyNumberFormat="1" applyFont="1" applyFill="1" applyBorder="1" applyAlignment="1" applyProtection="1">
      <alignment horizontal="center" vertical="center"/>
      <protection locked="0" hidden="1"/>
    </xf>
    <xf numFmtId="164" fontId="3" fillId="0" borderId="4" xfId="0" applyNumberFormat="1" applyFont="1" applyFill="1" applyBorder="1" applyAlignment="1" applyProtection="1">
      <alignment horizontal="center" vertical="center"/>
      <protection hidden="1"/>
    </xf>
    <xf numFmtId="164" fontId="21" fillId="6" borderId="4" xfId="0" applyNumberFormat="1" applyFont="1" applyFill="1" applyBorder="1" applyAlignment="1" applyProtection="1">
      <alignment horizontal="center" vertical="center"/>
      <protection locked="0" hidden="1"/>
    </xf>
    <xf numFmtId="0" fontId="22" fillId="0" borderId="5" xfId="0" applyFont="1" applyFill="1" applyBorder="1" applyAlignment="1" applyProtection="1">
      <alignment vertical="center" wrapText="1"/>
      <protection hidden="1"/>
    </xf>
    <xf numFmtId="0" fontId="21" fillId="6" borderId="5" xfId="0" applyFont="1" applyFill="1" applyBorder="1" applyAlignment="1" applyProtection="1">
      <alignment horizontal="center" vertical="center"/>
      <protection locked="0" hidden="1"/>
    </xf>
    <xf numFmtId="0" fontId="21" fillId="0" borderId="5" xfId="0" applyFont="1" applyFill="1" applyBorder="1" applyAlignment="1" applyProtection="1">
      <alignment horizontal="center" vertical="center"/>
      <protection hidden="1"/>
    </xf>
    <xf numFmtId="166" fontId="21" fillId="3" borderId="3" xfId="0" applyNumberFormat="1" applyFont="1" applyFill="1" applyBorder="1" applyAlignment="1" applyProtection="1">
      <alignment horizontal="center" vertical="center"/>
      <protection hidden="1"/>
    </xf>
    <xf numFmtId="166" fontId="21" fillId="0" borderId="3" xfId="0" applyNumberFormat="1" applyFont="1" applyFill="1" applyBorder="1" applyAlignment="1" applyProtection="1">
      <alignment horizontal="center" vertical="center"/>
      <protection hidden="1"/>
    </xf>
    <xf numFmtId="167" fontId="21" fillId="3" borderId="4" xfId="0" applyNumberFormat="1" applyFont="1" applyFill="1" applyBorder="1" applyAlignment="1" applyProtection="1">
      <alignment horizontal="center" vertical="center"/>
      <protection hidden="1"/>
    </xf>
    <xf numFmtId="167" fontId="21" fillId="0" borderId="4" xfId="0" applyNumberFormat="1" applyFont="1" applyFill="1" applyBorder="1" applyAlignment="1" applyProtection="1">
      <alignment horizontal="center" vertical="center"/>
      <protection hidden="1"/>
    </xf>
    <xf numFmtId="166" fontId="3" fillId="3" borderId="4" xfId="0" applyNumberFormat="1" applyFont="1" applyFill="1" applyBorder="1" applyAlignment="1" applyProtection="1">
      <alignment horizontal="center" vertical="center"/>
      <protection hidden="1"/>
    </xf>
    <xf numFmtId="166" fontId="3" fillId="0" borderId="4" xfId="0" applyNumberFormat="1" applyFont="1" applyFill="1" applyBorder="1" applyAlignment="1" applyProtection="1">
      <alignment horizontal="center" vertical="center"/>
      <protection hidden="1"/>
    </xf>
    <xf numFmtId="166" fontId="3" fillId="3" borderId="5" xfId="0" applyNumberFormat="1" applyFont="1" applyFill="1" applyBorder="1" applyAlignment="1" applyProtection="1">
      <alignment horizontal="center" vertical="center"/>
      <protection hidden="1"/>
    </xf>
    <xf numFmtId="166" fontId="3" fillId="0" borderId="5" xfId="0" applyNumberFormat="1" applyFont="1" applyFill="1" applyBorder="1" applyAlignment="1" applyProtection="1">
      <alignment horizontal="center" vertical="center"/>
      <protection hidden="1"/>
    </xf>
    <xf numFmtId="0" fontId="21" fillId="10" borderId="3" xfId="0" applyFont="1" applyFill="1" applyBorder="1" applyAlignment="1" applyProtection="1">
      <alignment horizontal="center" vertical="center"/>
      <protection hidden="1"/>
    </xf>
    <xf numFmtId="0" fontId="21" fillId="0" borderId="3" xfId="0" applyFont="1" applyFill="1" applyBorder="1" applyAlignment="1" applyProtection="1">
      <alignment horizontal="center" vertical="center"/>
      <protection hidden="1"/>
    </xf>
    <xf numFmtId="0" fontId="21" fillId="0" borderId="0" xfId="0" applyFont="1" applyFill="1" applyBorder="1" applyAlignment="1" applyProtection="1">
      <alignment vertical="center"/>
      <protection hidden="1"/>
    </xf>
    <xf numFmtId="0" fontId="21" fillId="11" borderId="4" xfId="0" applyFont="1" applyFill="1" applyBorder="1" applyAlignment="1" applyProtection="1">
      <alignment horizontal="center" vertical="center"/>
      <protection locked="0" hidden="1"/>
    </xf>
    <xf numFmtId="0" fontId="21" fillId="0" borderId="4" xfId="0" applyFont="1" applyFill="1" applyBorder="1" applyAlignment="1" applyProtection="1">
      <alignment vertical="center"/>
      <protection hidden="1"/>
    </xf>
    <xf numFmtId="3" fontId="22" fillId="10" borderId="4" xfId="0" applyNumberFormat="1" applyFont="1" applyFill="1" applyBorder="1" applyAlignment="1" applyProtection="1">
      <alignment horizontal="center" vertical="center"/>
      <protection hidden="1"/>
    </xf>
    <xf numFmtId="3" fontId="22" fillId="0" borderId="4" xfId="0" applyNumberFormat="1" applyFont="1" applyFill="1" applyBorder="1" applyAlignment="1" applyProtection="1">
      <alignment horizontal="center" vertical="center"/>
      <protection hidden="1"/>
    </xf>
    <xf numFmtId="3" fontId="21" fillId="3" borderId="4" xfId="0" applyNumberFormat="1" applyFont="1" applyFill="1" applyBorder="1" applyAlignment="1" applyProtection="1">
      <alignment horizontal="center" vertical="center"/>
      <protection hidden="1"/>
    </xf>
    <xf numFmtId="3" fontId="21" fillId="0" borderId="4" xfId="0" applyNumberFormat="1" applyFont="1" applyFill="1" applyBorder="1" applyAlignment="1" applyProtection="1">
      <alignment horizontal="center" vertical="center"/>
      <protection hidden="1"/>
    </xf>
    <xf numFmtId="0" fontId="21" fillId="2" borderId="4" xfId="0" applyFont="1" applyFill="1" applyBorder="1" applyAlignment="1" applyProtection="1">
      <alignment horizontal="center" vertical="center"/>
      <protection locked="0" hidden="1"/>
    </xf>
    <xf numFmtId="164" fontId="3" fillId="10" borderId="4" xfId="0" applyNumberFormat="1" applyFont="1" applyFill="1" applyBorder="1" applyAlignment="1" applyProtection="1">
      <alignment horizontal="center" vertical="center"/>
      <protection hidden="1"/>
    </xf>
    <xf numFmtId="0" fontId="21" fillId="3" borderId="4" xfId="0" applyFont="1" applyFill="1" applyBorder="1" applyAlignment="1" applyProtection="1">
      <alignment horizontal="center" vertical="center"/>
      <protection hidden="1"/>
    </xf>
    <xf numFmtId="164" fontId="21" fillId="3" borderId="5" xfId="0" applyNumberFormat="1" applyFont="1" applyFill="1" applyBorder="1" applyAlignment="1" applyProtection="1">
      <alignment horizontal="center" vertical="center"/>
      <protection hidden="1"/>
    </xf>
    <xf numFmtId="164" fontId="21" fillId="0" borderId="5" xfId="0" applyNumberFormat="1" applyFont="1" applyFill="1" applyBorder="1" applyAlignment="1" applyProtection="1">
      <alignment horizontal="center" vertical="center"/>
      <protection hidden="1"/>
    </xf>
    <xf numFmtId="0" fontId="21" fillId="0" borderId="0" xfId="0" applyFont="1" applyBorder="1" applyAlignment="1" applyProtection="1">
      <alignment horizontal="center" vertical="center"/>
      <protection hidden="1"/>
    </xf>
    <xf numFmtId="166" fontId="21" fillId="0" borderId="0" xfId="0" applyNumberFormat="1" applyFont="1" applyBorder="1" applyAlignment="1" applyProtection="1">
      <alignment horizontal="center" vertical="center"/>
      <protection hidden="1"/>
    </xf>
    <xf numFmtId="166" fontId="3" fillId="0" borderId="0" xfId="0" applyNumberFormat="1" applyFont="1" applyBorder="1" applyAlignment="1" applyProtection="1">
      <alignment horizontal="center" vertical="center"/>
      <protection hidden="1"/>
    </xf>
    <xf numFmtId="0" fontId="22" fillId="0" borderId="4" xfId="0" applyFont="1" applyFill="1" applyBorder="1" applyAlignment="1" applyProtection="1">
      <alignment horizontal="left" vertical="center" wrapText="1"/>
      <protection hidden="1"/>
    </xf>
    <xf numFmtId="1" fontId="21" fillId="0" borderId="4" xfId="0" applyNumberFormat="1" applyFont="1" applyFill="1" applyBorder="1" applyAlignment="1" applyProtection="1">
      <alignment horizontal="center" vertical="center"/>
      <protection hidden="1"/>
    </xf>
    <xf numFmtId="1" fontId="21" fillId="2" borderId="4" xfId="0" applyNumberFormat="1" applyFont="1" applyFill="1" applyBorder="1" applyAlignment="1" applyProtection="1">
      <alignment horizontal="center" vertical="center"/>
      <protection locked="0" hidden="1"/>
    </xf>
    <xf numFmtId="164" fontId="21" fillId="3" borderId="4" xfId="0" applyNumberFormat="1" applyFont="1" applyFill="1" applyBorder="1" applyAlignment="1" applyProtection="1">
      <alignment horizontal="center" vertical="center"/>
      <protection hidden="1"/>
    </xf>
    <xf numFmtId="0" fontId="22" fillId="0" borderId="5" xfId="0" applyFont="1" applyFill="1" applyBorder="1" applyAlignment="1" applyProtection="1">
      <alignment horizontal="left" vertical="center" wrapText="1"/>
      <protection hidden="1"/>
    </xf>
    <xf numFmtId="0" fontId="21" fillId="10" borderId="5" xfId="0" applyFont="1" applyFill="1" applyBorder="1" applyAlignment="1" applyProtection="1">
      <alignment horizontal="center" vertical="center"/>
      <protection hidden="1"/>
    </xf>
    <xf numFmtId="0" fontId="21" fillId="0" borderId="0" xfId="0" applyFont="1" applyFill="1" applyBorder="1" applyAlignment="1" applyProtection="1">
      <alignment horizontal="center" vertical="center"/>
      <protection hidden="1"/>
    </xf>
    <xf numFmtId="1" fontId="21" fillId="0" borderId="0" xfId="0" applyNumberFormat="1" applyFont="1" applyFill="1" applyBorder="1" applyAlignment="1" applyProtection="1">
      <alignment horizontal="center" vertical="center"/>
      <protection hidden="1"/>
    </xf>
    <xf numFmtId="2" fontId="22" fillId="0" borderId="3" xfId="0" applyNumberFormat="1" applyFont="1" applyFill="1" applyBorder="1" applyAlignment="1" applyProtection="1">
      <alignment horizontal="left" vertical="center" wrapText="1"/>
      <protection hidden="1"/>
    </xf>
    <xf numFmtId="164" fontId="21" fillId="11" borderId="5" xfId="0" applyNumberFormat="1" applyFont="1" applyFill="1" applyBorder="1" applyAlignment="1" applyProtection="1">
      <alignment horizontal="center" vertical="center"/>
      <protection locked="0" hidden="1"/>
    </xf>
    <xf numFmtId="4" fontId="3" fillId="3" borderId="4" xfId="0" applyNumberFormat="1" applyFont="1" applyFill="1" applyBorder="1" applyAlignment="1" applyProtection="1">
      <alignment horizontal="center" vertical="center"/>
      <protection hidden="1"/>
    </xf>
    <xf numFmtId="4" fontId="3" fillId="0" borderId="4" xfId="0" applyNumberFormat="1" applyFont="1" applyFill="1" applyBorder="1" applyAlignment="1" applyProtection="1">
      <alignment horizontal="center" vertical="center"/>
      <protection hidden="1"/>
    </xf>
    <xf numFmtId="3" fontId="21" fillId="10" borderId="3" xfId="0" applyNumberFormat="1" applyFont="1" applyFill="1" applyBorder="1" applyAlignment="1" applyProtection="1">
      <alignment horizontal="center" vertical="center"/>
      <protection hidden="1"/>
    </xf>
    <xf numFmtId="3" fontId="21" fillId="0" borderId="3" xfId="0" applyNumberFormat="1" applyFont="1" applyFill="1" applyBorder="1" applyAlignment="1" applyProtection="1">
      <alignment horizontal="center" vertical="center"/>
      <protection hidden="1"/>
    </xf>
    <xf numFmtId="0" fontId="21" fillId="0" borderId="0" xfId="0" applyFont="1" applyFill="1" applyAlignment="1" applyProtection="1">
      <alignment vertical="center"/>
      <protection hidden="1"/>
    </xf>
    <xf numFmtId="166" fontId="21" fillId="11" borderId="3" xfId="0" applyNumberFormat="1" applyFont="1" applyFill="1" applyBorder="1" applyAlignment="1" applyProtection="1">
      <alignment horizontal="center" vertical="center"/>
      <protection locked="0" hidden="1"/>
    </xf>
    <xf numFmtId="2" fontId="22" fillId="0" borderId="4" xfId="0" applyNumberFormat="1" applyFont="1" applyFill="1" applyBorder="1" applyAlignment="1" applyProtection="1">
      <alignment horizontal="left" vertical="center" wrapText="1"/>
      <protection hidden="1"/>
    </xf>
    <xf numFmtId="3" fontId="21" fillId="11" borderId="4" xfId="0" applyNumberFormat="1" applyFont="1" applyFill="1" applyBorder="1" applyAlignment="1" applyProtection="1">
      <alignment horizontal="center" vertical="center"/>
      <protection locked="0" hidden="1"/>
    </xf>
    <xf numFmtId="166" fontId="21" fillId="3" borderId="4" xfId="0" applyNumberFormat="1" applyFont="1" applyFill="1" applyBorder="1" applyAlignment="1" applyProtection="1">
      <alignment horizontal="center" vertical="center"/>
      <protection hidden="1"/>
    </xf>
    <xf numFmtId="166" fontId="21" fillId="0" borderId="4" xfId="0" applyNumberFormat="1" applyFont="1" applyFill="1" applyBorder="1" applyAlignment="1" applyProtection="1">
      <alignment horizontal="center" vertical="center"/>
      <protection hidden="1"/>
    </xf>
    <xf numFmtId="2" fontId="22" fillId="0" borderId="5" xfId="0" applyNumberFormat="1" applyFont="1" applyFill="1" applyBorder="1" applyAlignment="1" applyProtection="1">
      <alignment horizontal="left" vertical="center" wrapText="1"/>
      <protection hidden="1"/>
    </xf>
    <xf numFmtId="166" fontId="21" fillId="6" borderId="5" xfId="0" applyNumberFormat="1" applyFont="1" applyFill="1" applyBorder="1" applyAlignment="1" applyProtection="1">
      <alignment horizontal="center" vertical="center"/>
      <protection hidden="1"/>
    </xf>
    <xf numFmtId="166" fontId="21" fillId="0" borderId="5" xfId="0" applyNumberFormat="1" applyFont="1" applyFill="1" applyBorder="1" applyAlignment="1" applyProtection="1">
      <alignment horizontal="center" vertical="center"/>
      <protection hidden="1"/>
    </xf>
    <xf numFmtId="1" fontId="21" fillId="11" borderId="4" xfId="0" applyNumberFormat="1" applyFont="1" applyFill="1" applyBorder="1" applyAlignment="1" applyProtection="1">
      <alignment horizontal="center" vertical="center"/>
      <protection locked="0" hidden="1"/>
    </xf>
    <xf numFmtId="1" fontId="21" fillId="2" borderId="5" xfId="0" applyNumberFormat="1" applyFont="1" applyFill="1" applyBorder="1" applyAlignment="1" applyProtection="1">
      <alignment horizontal="center" vertical="center"/>
      <protection locked="0" hidden="1"/>
    </xf>
    <xf numFmtId="1" fontId="21" fillId="0" borderId="5" xfId="0" applyNumberFormat="1" applyFont="1" applyFill="1" applyBorder="1" applyAlignment="1" applyProtection="1">
      <alignment horizontal="center" vertical="center"/>
      <protection hidden="1"/>
    </xf>
    <xf numFmtId="164" fontId="21" fillId="3" borderId="3" xfId="0" applyNumberFormat="1" applyFont="1" applyFill="1" applyBorder="1" applyAlignment="1" applyProtection="1">
      <alignment horizontal="center" vertical="center"/>
      <protection hidden="1"/>
    </xf>
    <xf numFmtId="164" fontId="21" fillId="0" borderId="3" xfId="0" applyNumberFormat="1" applyFont="1" applyFill="1" applyBorder="1" applyAlignment="1" applyProtection="1">
      <alignment horizontal="center" vertical="center"/>
      <protection hidden="1"/>
    </xf>
    <xf numFmtId="168" fontId="21" fillId="0" borderId="0" xfId="0" applyNumberFormat="1" applyFont="1" applyAlignment="1" applyProtection="1">
      <alignment vertical="center"/>
      <protection hidden="1"/>
    </xf>
    <xf numFmtId="0" fontId="22" fillId="0" borderId="3" xfId="0" applyFont="1" applyFill="1" applyBorder="1" applyAlignment="1" applyProtection="1">
      <alignment horizontal="left" vertical="center" wrapText="1"/>
      <protection hidden="1"/>
    </xf>
    <xf numFmtId="0" fontId="21" fillId="8" borderId="3" xfId="0" applyFont="1" applyFill="1" applyBorder="1" applyAlignment="1" applyProtection="1">
      <alignment horizontal="center" vertical="center"/>
      <protection locked="0" hidden="1"/>
    </xf>
    <xf numFmtId="0" fontId="22" fillId="0" borderId="7" xfId="0" applyFont="1" applyFill="1" applyBorder="1" applyAlignment="1" applyProtection="1">
      <alignment horizontal="left" vertical="center" wrapText="1"/>
      <protection hidden="1"/>
    </xf>
    <xf numFmtId="164" fontId="21" fillId="11" borderId="7" xfId="0" applyNumberFormat="1" applyFont="1" applyFill="1" applyBorder="1" applyAlignment="1" applyProtection="1">
      <alignment horizontal="center" vertical="center"/>
      <protection locked="0" hidden="1"/>
    </xf>
    <xf numFmtId="0" fontId="21" fillId="0" borderId="7" xfId="0" applyFont="1" applyFill="1" applyBorder="1" applyAlignment="1" applyProtection="1">
      <alignment horizontal="center" vertical="center"/>
      <protection hidden="1"/>
    </xf>
    <xf numFmtId="164" fontId="21" fillId="0" borderId="7" xfId="0" applyNumberFormat="1" applyFont="1" applyFill="1" applyBorder="1" applyAlignment="1" applyProtection="1">
      <alignment horizontal="center" vertical="center"/>
      <protection hidden="1"/>
    </xf>
    <xf numFmtId="164" fontId="21" fillId="10" borderId="3" xfId="0" applyNumberFormat="1" applyFont="1" applyFill="1" applyBorder="1" applyAlignment="1" applyProtection="1">
      <alignment horizontal="center" vertical="center"/>
      <protection hidden="1"/>
    </xf>
    <xf numFmtId="167" fontId="21" fillId="10" borderId="4" xfId="0" applyNumberFormat="1" applyFont="1" applyFill="1" applyBorder="1" applyAlignment="1" applyProtection="1">
      <alignment horizontal="center" vertical="center"/>
      <protection hidden="1"/>
    </xf>
    <xf numFmtId="166" fontId="3" fillId="10" borderId="4" xfId="0" applyNumberFormat="1" applyFont="1" applyFill="1" applyBorder="1" applyAlignment="1" applyProtection="1">
      <alignment horizontal="center" vertical="center"/>
      <protection hidden="1"/>
    </xf>
    <xf numFmtId="166" fontId="3" fillId="10" borderId="5" xfId="0" applyNumberFormat="1" applyFont="1" applyFill="1" applyBorder="1" applyAlignment="1" applyProtection="1">
      <alignment horizontal="center" vertical="center"/>
      <protection hidden="1"/>
    </xf>
    <xf numFmtId="164" fontId="22" fillId="0" borderId="3" xfId="0" applyNumberFormat="1" applyFont="1" applyFill="1" applyBorder="1" applyAlignment="1" applyProtection="1">
      <alignment vertical="center"/>
      <protection hidden="1"/>
    </xf>
    <xf numFmtId="169" fontId="21" fillId="10" borderId="3" xfId="6" applyNumberFormat="1" applyFont="1" applyFill="1" applyBorder="1" applyAlignment="1" applyProtection="1">
      <alignment horizontal="center" vertical="center"/>
      <protection hidden="1"/>
    </xf>
    <xf numFmtId="169" fontId="21" fillId="0" borderId="3" xfId="6" applyNumberFormat="1" applyFont="1" applyFill="1" applyBorder="1" applyAlignment="1" applyProtection="1">
      <alignment horizontal="center" vertical="center"/>
      <protection hidden="1"/>
    </xf>
    <xf numFmtId="169" fontId="21" fillId="0" borderId="3" xfId="6" applyNumberFormat="1" applyFont="1" applyBorder="1" applyAlignment="1" applyProtection="1">
      <alignment horizontal="center" vertical="center"/>
      <protection hidden="1"/>
    </xf>
    <xf numFmtId="164" fontId="22" fillId="0" borderId="4" xfId="0" applyNumberFormat="1" applyFont="1" applyFill="1" applyBorder="1" applyAlignment="1" applyProtection="1">
      <alignment vertical="center"/>
      <protection hidden="1"/>
    </xf>
    <xf numFmtId="169" fontId="21" fillId="10" borderId="4" xfId="6" applyNumberFormat="1" applyFont="1" applyFill="1" applyBorder="1" applyAlignment="1" applyProtection="1">
      <alignment horizontal="center" vertical="center"/>
      <protection hidden="1"/>
    </xf>
    <xf numFmtId="169" fontId="21" fillId="0" borderId="4" xfId="6" applyNumberFormat="1" applyFont="1" applyFill="1" applyBorder="1" applyAlignment="1" applyProtection="1">
      <alignment horizontal="center" vertical="center"/>
      <protection hidden="1"/>
    </xf>
    <xf numFmtId="169" fontId="21" fillId="0" borderId="4" xfId="6" applyNumberFormat="1" applyFont="1" applyBorder="1" applyAlignment="1" applyProtection="1">
      <alignment horizontal="center" vertical="center"/>
      <protection hidden="1"/>
    </xf>
    <xf numFmtId="164" fontId="22" fillId="0" borderId="4" xfId="0" applyNumberFormat="1" applyFont="1" applyFill="1" applyBorder="1" applyAlignment="1" applyProtection="1">
      <alignment horizontal="left" vertical="center"/>
      <protection hidden="1"/>
    </xf>
    <xf numFmtId="164" fontId="22" fillId="0" borderId="5" xfId="0" applyNumberFormat="1" applyFont="1" applyFill="1" applyBorder="1" applyAlignment="1" applyProtection="1">
      <alignment vertical="center"/>
      <protection hidden="1"/>
    </xf>
    <xf numFmtId="169" fontId="21" fillId="10" borderId="5" xfId="6" applyNumberFormat="1" applyFont="1" applyFill="1" applyBorder="1" applyAlignment="1" applyProtection="1">
      <alignment horizontal="center" vertical="center"/>
      <protection hidden="1"/>
    </xf>
    <xf numFmtId="169" fontId="21" fillId="0" borderId="5" xfId="6" applyNumberFormat="1" applyFont="1" applyFill="1" applyBorder="1" applyAlignment="1" applyProtection="1">
      <alignment horizontal="center" vertical="center"/>
      <protection hidden="1"/>
    </xf>
    <xf numFmtId="169" fontId="21" fillId="0" borderId="5" xfId="6" applyNumberFormat="1" applyFont="1" applyBorder="1" applyAlignment="1" applyProtection="1">
      <alignment horizontal="center" vertical="center"/>
      <protection hidden="1"/>
    </xf>
    <xf numFmtId="0" fontId="17" fillId="0" borderId="3" xfId="0" applyFont="1" applyFill="1" applyBorder="1" applyAlignment="1" applyProtection="1">
      <alignment vertical="center" wrapText="1"/>
      <protection hidden="1"/>
    </xf>
    <xf numFmtId="166" fontId="1" fillId="10" borderId="3" xfId="0" applyNumberFormat="1" applyFont="1" applyFill="1" applyBorder="1" applyAlignment="1" applyProtection="1">
      <alignment horizontal="center" vertical="center"/>
      <protection hidden="1"/>
    </xf>
    <xf numFmtId="166" fontId="1" fillId="0" borderId="3" xfId="0" applyNumberFormat="1" applyFont="1" applyFill="1" applyBorder="1" applyAlignment="1" applyProtection="1">
      <alignment horizontal="center" vertical="center"/>
      <protection hidden="1"/>
    </xf>
    <xf numFmtId="0" fontId="17" fillId="0" borderId="4" xfId="0" applyFont="1" applyFill="1" applyBorder="1" applyAlignment="1" applyProtection="1">
      <alignment vertical="center" wrapText="1"/>
      <protection hidden="1"/>
    </xf>
    <xf numFmtId="4" fontId="18" fillId="10" borderId="4" xfId="0" applyNumberFormat="1" applyFont="1" applyFill="1" applyBorder="1" applyAlignment="1" applyProtection="1">
      <alignment horizontal="center" vertical="center"/>
      <protection hidden="1"/>
    </xf>
    <xf numFmtId="4" fontId="18" fillId="0" borderId="4" xfId="0" applyNumberFormat="1" applyFont="1" applyFill="1" applyBorder="1" applyAlignment="1" applyProtection="1">
      <alignment horizontal="center" vertical="center"/>
      <protection hidden="1"/>
    </xf>
    <xf numFmtId="166" fontId="18" fillId="10" borderId="4" xfId="0" applyNumberFormat="1" applyFont="1" applyFill="1" applyBorder="1" applyAlignment="1" applyProtection="1">
      <alignment horizontal="center" vertical="center"/>
      <protection hidden="1"/>
    </xf>
    <xf numFmtId="166" fontId="18" fillId="0" borderId="4" xfId="0" applyNumberFormat="1" applyFont="1" applyFill="1" applyBorder="1" applyAlignment="1" applyProtection="1">
      <alignment horizontal="center" vertical="center"/>
      <protection hidden="1"/>
    </xf>
    <xf numFmtId="0" fontId="17" fillId="0" borderId="5" xfId="0" applyFont="1" applyFill="1" applyBorder="1" applyAlignment="1" applyProtection="1">
      <alignment vertical="center" wrapText="1"/>
      <protection hidden="1"/>
    </xf>
    <xf numFmtId="164" fontId="1" fillId="10" borderId="5" xfId="0" applyNumberFormat="1" applyFont="1" applyFill="1" applyBorder="1" applyAlignment="1" applyProtection="1">
      <alignment horizontal="center" vertical="center"/>
      <protection hidden="1"/>
    </xf>
    <xf numFmtId="164" fontId="1" fillId="0" borderId="5" xfId="0" applyNumberFormat="1" applyFont="1" applyFill="1" applyBorder="1" applyAlignment="1" applyProtection="1">
      <alignment horizontal="center" vertical="center"/>
      <protection hidden="1"/>
    </xf>
    <xf numFmtId="0" fontId="22" fillId="0" borderId="2" xfId="0" applyFont="1" applyFill="1" applyBorder="1" applyAlignment="1" applyProtection="1">
      <alignment vertical="center" wrapText="1"/>
      <protection hidden="1"/>
    </xf>
    <xf numFmtId="169" fontId="21" fillId="10" borderId="2" xfId="6" applyNumberFormat="1" applyFont="1" applyFill="1" applyBorder="1" applyAlignment="1" applyProtection="1">
      <alignment horizontal="center" vertical="center"/>
      <protection hidden="1"/>
    </xf>
    <xf numFmtId="169" fontId="21" fillId="0" borderId="2" xfId="6" applyNumberFormat="1" applyFont="1" applyFill="1" applyBorder="1" applyAlignment="1" applyProtection="1">
      <alignment horizontal="center" vertical="center"/>
      <protection hidden="1"/>
    </xf>
    <xf numFmtId="1" fontId="25" fillId="0" borderId="0" xfId="0" applyNumberFormat="1" applyFont="1" applyFill="1" applyBorder="1" applyAlignment="1" applyProtection="1">
      <alignment horizontal="center" vertical="center"/>
      <protection hidden="1"/>
    </xf>
    <xf numFmtId="164" fontId="25" fillId="0" borderId="0" xfId="0" applyNumberFormat="1" applyFont="1" applyFill="1" applyBorder="1" applyAlignment="1" applyProtection="1">
      <alignment horizontal="center" vertical="center"/>
      <protection hidden="1"/>
    </xf>
    <xf numFmtId="0" fontId="24" fillId="0" borderId="0" xfId="0" applyFont="1" applyFill="1" applyBorder="1" applyAlignment="1" applyProtection="1">
      <alignment vertical="center"/>
      <protection hidden="1"/>
    </xf>
    <xf numFmtId="0" fontId="25" fillId="0" borderId="0" xfId="0" applyFont="1" applyFill="1" applyBorder="1" applyAlignment="1" applyProtection="1">
      <alignment vertical="center"/>
      <protection hidden="1"/>
    </xf>
    <xf numFmtId="0" fontId="25" fillId="0" borderId="0" xfId="0" applyFont="1" applyFill="1" applyBorder="1" applyAlignment="1" applyProtection="1">
      <alignment horizontal="center" vertical="center"/>
      <protection hidden="1"/>
    </xf>
    <xf numFmtId="164" fontId="25" fillId="0" borderId="0" xfId="0" applyNumberFormat="1" applyFont="1" applyFill="1" applyBorder="1" applyAlignment="1" applyProtection="1">
      <alignment horizontal="center" vertical="center" wrapText="1"/>
      <protection hidden="1"/>
    </xf>
    <xf numFmtId="0" fontId="24" fillId="0" borderId="0" xfId="0" applyFont="1" applyFill="1" applyBorder="1" applyAlignment="1" applyProtection="1">
      <alignment vertical="center" wrapText="1"/>
      <protection hidden="1"/>
    </xf>
    <xf numFmtId="164" fontId="25" fillId="0" borderId="0" xfId="0" applyNumberFormat="1" applyFont="1" applyFill="1" applyBorder="1" applyAlignment="1" applyProtection="1">
      <alignment vertical="center"/>
      <protection hidden="1"/>
    </xf>
    <xf numFmtId="0" fontId="12" fillId="0" borderId="0" xfId="3" applyFont="1" applyAlignment="1" applyProtection="1">
      <alignment vertical="center"/>
      <protection hidden="1"/>
    </xf>
    <xf numFmtId="0" fontId="20" fillId="0" borderId="0" xfId="3" applyFont="1" applyAlignment="1" applyProtection="1">
      <alignment horizontal="center" vertical="center"/>
      <protection hidden="1"/>
    </xf>
    <xf numFmtId="0" fontId="8" fillId="0" borderId="0" xfId="3" applyAlignment="1" applyProtection="1">
      <alignment vertical="center"/>
      <protection hidden="1"/>
    </xf>
    <xf numFmtId="0" fontId="3" fillId="9" borderId="3" xfId="3" applyFont="1" applyFill="1" applyBorder="1" applyAlignment="1" applyProtection="1">
      <alignment vertical="center"/>
      <protection hidden="1"/>
    </xf>
    <xf numFmtId="0" fontId="3" fillId="9" borderId="3" xfId="3" applyFont="1" applyFill="1" applyBorder="1" applyAlignment="1" applyProtection="1">
      <alignment horizontal="center" vertical="center"/>
      <protection hidden="1"/>
    </xf>
    <xf numFmtId="0" fontId="1" fillId="9" borderId="4" xfId="0" applyFont="1" applyFill="1" applyBorder="1" applyAlignment="1" applyProtection="1">
      <alignment vertical="center"/>
      <protection hidden="1"/>
    </xf>
    <xf numFmtId="0" fontId="18" fillId="9" borderId="4" xfId="3" applyFont="1" applyFill="1" applyBorder="1" applyAlignment="1" applyProtection="1">
      <alignment horizontal="center" vertical="center"/>
      <protection hidden="1"/>
    </xf>
    <xf numFmtId="0" fontId="21" fillId="9" borderId="5" xfId="0" applyFont="1" applyFill="1" applyBorder="1" applyAlignment="1" applyProtection="1">
      <alignment vertical="center"/>
      <protection hidden="1"/>
    </xf>
    <xf numFmtId="3" fontId="22" fillId="4" borderId="5" xfId="0" applyNumberFormat="1" applyFont="1" applyFill="1" applyBorder="1" applyAlignment="1" applyProtection="1">
      <alignment horizontal="center" vertical="center"/>
      <protection hidden="1"/>
    </xf>
    <xf numFmtId="0" fontId="8" fillId="0" borderId="0" xfId="3" applyAlignment="1" applyProtection="1">
      <alignment horizontal="left" vertical="center"/>
      <protection hidden="1"/>
    </xf>
    <xf numFmtId="2" fontId="8" fillId="0" borderId="0" xfId="3" applyNumberFormat="1" applyAlignment="1" applyProtection="1">
      <alignment horizontal="center" vertical="center"/>
      <protection hidden="1"/>
    </xf>
    <xf numFmtId="0" fontId="3" fillId="14" borderId="12" xfId="3" applyFont="1" applyFill="1" applyBorder="1" applyAlignment="1" applyProtection="1">
      <alignment horizontal="left" vertical="center"/>
      <protection hidden="1"/>
    </xf>
    <xf numFmtId="2" fontId="3" fillId="14" borderId="13" xfId="3" applyNumberFormat="1" applyFont="1" applyFill="1" applyBorder="1" applyAlignment="1" applyProtection="1">
      <alignment horizontal="center" vertical="center"/>
      <protection hidden="1"/>
    </xf>
    <xf numFmtId="0" fontId="3" fillId="14" borderId="13" xfId="3" applyFont="1" applyFill="1" applyBorder="1" applyAlignment="1" applyProtection="1">
      <alignment vertical="center"/>
      <protection hidden="1"/>
    </xf>
    <xf numFmtId="0" fontId="3" fillId="14" borderId="14" xfId="3" applyFont="1" applyFill="1" applyBorder="1" applyAlignment="1" applyProtection="1">
      <alignment vertical="center"/>
      <protection hidden="1"/>
    </xf>
    <xf numFmtId="0" fontId="3" fillId="14" borderId="15" xfId="3" applyFont="1" applyFill="1" applyBorder="1" applyAlignment="1" applyProtection="1">
      <alignment horizontal="left" vertical="center"/>
      <protection hidden="1"/>
    </xf>
    <xf numFmtId="2" fontId="3" fillId="14" borderId="6" xfId="3" applyNumberFormat="1" applyFont="1" applyFill="1" applyBorder="1" applyAlignment="1" applyProtection="1">
      <alignment horizontal="center" vertical="center"/>
      <protection hidden="1"/>
    </xf>
    <xf numFmtId="0" fontId="3" fillId="14" borderId="6" xfId="3" applyFont="1" applyFill="1" applyBorder="1" applyAlignment="1" applyProtection="1">
      <alignment vertical="center"/>
      <protection hidden="1"/>
    </xf>
    <xf numFmtId="0" fontId="3" fillId="14" borderId="16" xfId="3" applyFont="1" applyFill="1" applyBorder="1" applyAlignment="1" applyProtection="1">
      <alignment vertical="center"/>
      <protection hidden="1"/>
    </xf>
    <xf numFmtId="0" fontId="3" fillId="0" borderId="3" xfId="3" applyFont="1" applyFill="1" applyBorder="1" applyAlignment="1" applyProtection="1">
      <alignment horizontal="left" vertical="center"/>
      <protection hidden="1"/>
    </xf>
    <xf numFmtId="1" fontId="3" fillId="10" borderId="3" xfId="3" applyNumberFormat="1" applyFont="1" applyFill="1" applyBorder="1" applyAlignment="1" applyProtection="1">
      <alignment horizontal="center" vertical="center"/>
      <protection hidden="1"/>
    </xf>
    <xf numFmtId="1" fontId="3" fillId="0" borderId="3" xfId="3" applyNumberFormat="1" applyFont="1" applyFill="1" applyBorder="1" applyAlignment="1" applyProtection="1">
      <alignment horizontal="center" vertical="center"/>
      <protection hidden="1"/>
    </xf>
    <xf numFmtId="0" fontId="3" fillId="0" borderId="4" xfId="3" applyFont="1" applyFill="1" applyBorder="1" applyAlignment="1" applyProtection="1">
      <alignment horizontal="left" vertical="center"/>
      <protection hidden="1"/>
    </xf>
    <xf numFmtId="2" fontId="3" fillId="2" borderId="4" xfId="3" applyNumberFormat="1" applyFont="1" applyFill="1" applyBorder="1" applyAlignment="1" applyProtection="1">
      <alignment horizontal="center" vertical="center"/>
      <protection locked="0" hidden="1"/>
    </xf>
    <xf numFmtId="2" fontId="3" fillId="0" borderId="4" xfId="3" applyNumberFormat="1" applyFont="1" applyFill="1" applyBorder="1" applyAlignment="1" applyProtection="1">
      <alignment horizontal="center" vertical="center"/>
      <protection hidden="1"/>
    </xf>
    <xf numFmtId="2" fontId="3" fillId="10" borderId="4" xfId="3" applyNumberFormat="1" applyFont="1" applyFill="1" applyBorder="1" applyAlignment="1" applyProtection="1">
      <alignment horizontal="center" vertical="center"/>
      <protection hidden="1"/>
    </xf>
    <xf numFmtId="0" fontId="3" fillId="2" borderId="4" xfId="3" applyFont="1" applyFill="1" applyBorder="1" applyAlignment="1" applyProtection="1">
      <alignment horizontal="center" vertical="center"/>
      <protection locked="0" hidden="1"/>
    </xf>
    <xf numFmtId="0" fontId="3" fillId="0" borderId="4" xfId="3" applyFont="1" applyFill="1" applyBorder="1" applyAlignment="1" applyProtection="1">
      <alignment horizontal="center" vertical="center"/>
      <protection hidden="1"/>
    </xf>
    <xf numFmtId="0" fontId="3" fillId="0" borderId="5" xfId="3" applyFont="1" applyFill="1" applyBorder="1" applyAlignment="1" applyProtection="1">
      <alignment horizontal="left" vertical="center"/>
      <protection hidden="1"/>
    </xf>
    <xf numFmtId="0" fontId="3" fillId="2" borderId="5" xfId="3" applyFont="1" applyFill="1" applyBorder="1" applyAlignment="1" applyProtection="1">
      <alignment horizontal="center" vertical="center"/>
      <protection locked="0" hidden="1"/>
    </xf>
    <xf numFmtId="0" fontId="3" fillId="0" borderId="5" xfId="3" applyFont="1" applyFill="1" applyBorder="1" applyAlignment="1" applyProtection="1">
      <alignment horizontal="center" vertical="center"/>
      <protection hidden="1"/>
    </xf>
    <xf numFmtId="0" fontId="3" fillId="0" borderId="3" xfId="3" applyFont="1" applyFill="1" applyBorder="1" applyAlignment="1" applyProtection="1">
      <alignment vertical="center"/>
      <protection hidden="1"/>
    </xf>
    <xf numFmtId="164" fontId="3" fillId="3" borderId="3" xfId="3" applyNumberFormat="1" applyFont="1" applyFill="1" applyBorder="1" applyAlignment="1" applyProtection="1">
      <alignment horizontal="center" vertical="center"/>
      <protection hidden="1"/>
    </xf>
    <xf numFmtId="164" fontId="3" fillId="0" borderId="3" xfId="3" applyNumberFormat="1" applyFont="1" applyFill="1" applyBorder="1" applyAlignment="1" applyProtection="1">
      <alignment horizontal="center" vertical="center"/>
      <protection hidden="1"/>
    </xf>
    <xf numFmtId="0" fontId="3" fillId="0" borderId="4" xfId="3" applyFont="1" applyFill="1" applyBorder="1" applyAlignment="1" applyProtection="1">
      <alignment vertical="center"/>
      <protection hidden="1"/>
    </xf>
    <xf numFmtId="3" fontId="3" fillId="3" borderId="4" xfId="3" applyNumberFormat="1" applyFont="1" applyFill="1" applyBorder="1" applyAlignment="1" applyProtection="1">
      <alignment horizontal="center" vertical="center"/>
      <protection hidden="1"/>
    </xf>
    <xf numFmtId="3" fontId="3" fillId="0" borderId="4" xfId="3" applyNumberFormat="1" applyFont="1" applyFill="1" applyBorder="1" applyAlignment="1" applyProtection="1">
      <alignment horizontal="center" vertical="center"/>
      <protection hidden="1"/>
    </xf>
    <xf numFmtId="0" fontId="3" fillId="0" borderId="5" xfId="3" applyFont="1" applyFill="1" applyBorder="1" applyAlignment="1" applyProtection="1">
      <alignment vertical="center"/>
      <protection hidden="1"/>
    </xf>
    <xf numFmtId="3" fontId="3" fillId="3" borderId="5" xfId="3" applyNumberFormat="1" applyFont="1" applyFill="1" applyBorder="1" applyAlignment="1" applyProtection="1">
      <alignment horizontal="center" vertical="center"/>
      <protection hidden="1"/>
    </xf>
    <xf numFmtId="3" fontId="3" fillId="0" borderId="5" xfId="3" applyNumberFormat="1" applyFont="1" applyFill="1" applyBorder="1" applyAlignment="1" applyProtection="1">
      <alignment horizontal="center" vertical="center"/>
      <protection hidden="1"/>
    </xf>
    <xf numFmtId="0" fontId="8" fillId="0" borderId="0" xfId="3" applyFont="1" applyFill="1" applyBorder="1" applyAlignment="1" applyProtection="1">
      <alignment vertical="center"/>
      <protection hidden="1"/>
    </xf>
    <xf numFmtId="3" fontId="8" fillId="0" borderId="0" xfId="3" applyNumberFormat="1" applyFill="1" applyBorder="1" applyAlignment="1" applyProtection="1">
      <alignment horizontal="center" vertical="center"/>
      <protection hidden="1"/>
    </xf>
    <xf numFmtId="0" fontId="3" fillId="14" borderId="9" xfId="3" applyFont="1" applyFill="1" applyBorder="1" applyAlignment="1" applyProtection="1">
      <alignment vertical="center"/>
      <protection hidden="1"/>
    </xf>
    <xf numFmtId="0" fontId="3" fillId="14" borderId="10" xfId="3" applyFont="1" applyFill="1" applyBorder="1" applyAlignment="1" applyProtection="1">
      <alignment vertical="center"/>
      <protection hidden="1"/>
    </xf>
    <xf numFmtId="0" fontId="3" fillId="14" borderId="11" xfId="3" applyFont="1" applyFill="1" applyBorder="1" applyAlignment="1" applyProtection="1">
      <alignment vertical="center"/>
      <protection hidden="1"/>
    </xf>
    <xf numFmtId="3" fontId="3" fillId="10" borderId="3" xfId="3" applyNumberFormat="1" applyFont="1" applyFill="1" applyBorder="1" applyAlignment="1" applyProtection="1">
      <alignment horizontal="center" vertical="center"/>
      <protection hidden="1"/>
    </xf>
    <xf numFmtId="3" fontId="3" fillId="0" borderId="3" xfId="3" applyNumberFormat="1" applyFont="1" applyFill="1" applyBorder="1" applyAlignment="1" applyProtection="1">
      <alignment horizontal="center" vertical="center"/>
      <protection hidden="1"/>
    </xf>
    <xf numFmtId="0" fontId="3" fillId="6" borderId="4" xfId="3" applyFont="1" applyFill="1" applyBorder="1" applyAlignment="1" applyProtection="1">
      <alignment horizontal="center" vertical="center"/>
      <protection locked="0" hidden="1"/>
    </xf>
    <xf numFmtId="0" fontId="9" fillId="0" borderId="0" xfId="3" applyFont="1" applyAlignment="1" applyProtection="1">
      <alignment vertical="center"/>
      <protection hidden="1"/>
    </xf>
    <xf numFmtId="0" fontId="9" fillId="9" borderId="3" xfId="3" applyFont="1" applyFill="1" applyBorder="1" applyAlignment="1" applyProtection="1">
      <alignment vertical="center"/>
      <protection hidden="1"/>
    </xf>
    <xf numFmtId="0" fontId="18" fillId="9" borderId="4" xfId="3" applyFont="1" applyFill="1" applyBorder="1" applyAlignment="1" applyProtection="1">
      <alignment vertical="center"/>
      <protection hidden="1"/>
    </xf>
    <xf numFmtId="0" fontId="9" fillId="9" borderId="4" xfId="3" applyFont="1" applyFill="1" applyBorder="1" applyAlignment="1" applyProtection="1">
      <alignment vertical="center"/>
      <protection hidden="1"/>
    </xf>
    <xf numFmtId="0" fontId="3" fillId="9" borderId="5" xfId="3" applyFont="1" applyFill="1" applyBorder="1" applyAlignment="1" applyProtection="1">
      <alignment vertical="center"/>
      <protection hidden="1"/>
    </xf>
    <xf numFmtId="0" fontId="9" fillId="9" borderId="5" xfId="3" applyFont="1" applyFill="1" applyBorder="1" applyAlignment="1" applyProtection="1">
      <alignment vertical="center"/>
      <protection hidden="1"/>
    </xf>
    <xf numFmtId="3" fontId="3" fillId="9" borderId="5" xfId="3" applyNumberFormat="1" applyFont="1" applyFill="1" applyBorder="1" applyAlignment="1" applyProtection="1">
      <alignment horizontal="center" vertical="center"/>
      <protection hidden="1"/>
    </xf>
    <xf numFmtId="0" fontId="4" fillId="0" borderId="0" xfId="3" applyFont="1" applyAlignment="1" applyProtection="1">
      <alignment vertical="center"/>
      <protection hidden="1"/>
    </xf>
    <xf numFmtId="0" fontId="3" fillId="5" borderId="1" xfId="3" applyFont="1" applyFill="1" applyBorder="1" applyAlignment="1" applyProtection="1">
      <alignment horizontal="center" vertical="center"/>
      <protection hidden="1"/>
    </xf>
    <xf numFmtId="1" fontId="2" fillId="5" borderId="1" xfId="3" applyNumberFormat="1" applyFont="1" applyFill="1" applyBorder="1" applyAlignment="1" applyProtection="1">
      <alignment horizontal="center" vertical="center"/>
      <protection hidden="1"/>
    </xf>
    <xf numFmtId="0" fontId="8" fillId="5" borderId="1" xfId="3" applyFill="1" applyBorder="1" applyAlignment="1" applyProtection="1">
      <alignment horizontal="center" vertical="center"/>
      <protection hidden="1"/>
    </xf>
    <xf numFmtId="164" fontId="2" fillId="5" borderId="1" xfId="3" applyNumberFormat="1" applyFont="1" applyFill="1" applyBorder="1" applyAlignment="1" applyProtection="1">
      <alignment horizontal="center" vertical="center"/>
      <protection hidden="1"/>
    </xf>
    <xf numFmtId="0" fontId="8" fillId="0" borderId="0" xfId="3" applyFont="1" applyAlignment="1" applyProtection="1">
      <alignment vertical="center"/>
      <protection hidden="1"/>
    </xf>
    <xf numFmtId="1" fontId="8" fillId="5" borderId="1" xfId="3" applyNumberFormat="1" applyFill="1" applyBorder="1" applyAlignment="1" applyProtection="1">
      <alignment horizontal="center" vertical="center"/>
      <protection hidden="1"/>
    </xf>
    <xf numFmtId="164" fontId="8" fillId="5" borderId="1" xfId="3" applyNumberFormat="1" applyFill="1" applyBorder="1" applyAlignment="1" applyProtection="1">
      <alignment horizontal="center" vertical="center"/>
      <protection hidden="1"/>
    </xf>
    <xf numFmtId="0" fontId="3" fillId="0" borderId="3" xfId="3" applyFont="1" applyBorder="1" applyAlignment="1" applyProtection="1">
      <alignment vertical="center"/>
      <protection hidden="1"/>
    </xf>
    <xf numFmtId="0" fontId="9" fillId="0" borderId="3" xfId="3" applyFont="1" applyBorder="1" applyAlignment="1" applyProtection="1">
      <alignment vertical="center"/>
      <protection hidden="1"/>
    </xf>
    <xf numFmtId="0" fontId="8" fillId="0" borderId="3" xfId="3" applyFill="1" applyBorder="1" applyAlignment="1" applyProtection="1">
      <alignment horizontal="center" vertical="center"/>
      <protection hidden="1"/>
    </xf>
    <xf numFmtId="0" fontId="3" fillId="0" borderId="4" xfId="3" applyFont="1" applyBorder="1" applyAlignment="1" applyProtection="1">
      <alignment vertical="center"/>
      <protection hidden="1"/>
    </xf>
    <xf numFmtId="0" fontId="9" fillId="0" borderId="4" xfId="3" applyFont="1" applyBorder="1" applyAlignment="1" applyProtection="1">
      <alignment vertical="center"/>
      <protection hidden="1"/>
    </xf>
    <xf numFmtId="0" fontId="9" fillId="8" borderId="4" xfId="3" applyFont="1" applyFill="1" applyBorder="1" applyAlignment="1" applyProtection="1">
      <alignment horizontal="center" vertical="center"/>
      <protection hidden="1"/>
    </xf>
    <xf numFmtId="0" fontId="8" fillId="0" borderId="4" xfId="3" applyFill="1" applyBorder="1" applyAlignment="1" applyProtection="1">
      <alignment horizontal="center" vertical="center"/>
      <protection hidden="1"/>
    </xf>
    <xf numFmtId="0" fontId="3" fillId="0" borderId="5" xfId="3" applyFont="1" applyBorder="1" applyAlignment="1" applyProtection="1">
      <alignment vertical="center"/>
      <protection hidden="1"/>
    </xf>
    <xf numFmtId="0" fontId="9" fillId="0" borderId="5" xfId="3" applyFont="1" applyBorder="1" applyAlignment="1" applyProtection="1">
      <alignment vertical="center"/>
      <protection hidden="1"/>
    </xf>
    <xf numFmtId="0" fontId="8" fillId="0" borderId="5" xfId="3" applyFill="1" applyBorder="1" applyAlignment="1" applyProtection="1">
      <alignment horizontal="center" vertical="center"/>
      <protection hidden="1"/>
    </xf>
    <xf numFmtId="0" fontId="0" fillId="0" borderId="0" xfId="0" applyAlignment="1" applyProtection="1">
      <alignment vertical="center"/>
      <protection hidden="1"/>
    </xf>
    <xf numFmtId="0" fontId="13" fillId="0" borderId="0" xfId="0" applyFont="1" applyAlignment="1" applyProtection="1">
      <alignment vertical="center"/>
      <protection hidden="1"/>
    </xf>
    <xf numFmtId="0" fontId="10" fillId="12" borderId="9" xfId="5" applyFont="1" applyFill="1" applyBorder="1" applyAlignment="1" applyProtection="1">
      <alignment vertical="center"/>
      <protection hidden="1"/>
    </xf>
    <xf numFmtId="0" fontId="18" fillId="12" borderId="10" xfId="3" applyFont="1" applyFill="1" applyBorder="1" applyAlignment="1" applyProtection="1">
      <alignment horizontal="center" vertical="center"/>
      <protection hidden="1"/>
    </xf>
    <xf numFmtId="164" fontId="18" fillId="12" borderId="10" xfId="3" applyNumberFormat="1" applyFont="1" applyFill="1" applyBorder="1" applyAlignment="1" applyProtection="1">
      <alignment horizontal="center" vertical="center"/>
      <protection hidden="1"/>
    </xf>
    <xf numFmtId="164" fontId="18" fillId="12" borderId="11" xfId="3" applyNumberFormat="1" applyFont="1" applyFill="1" applyBorder="1" applyAlignment="1" applyProtection="1">
      <alignment horizontal="center" vertical="center"/>
      <protection hidden="1"/>
    </xf>
    <xf numFmtId="0" fontId="14" fillId="0" borderId="0" xfId="0" applyFont="1" applyAlignment="1" applyProtection="1">
      <alignment vertical="center"/>
      <protection hidden="1"/>
    </xf>
    <xf numFmtId="0" fontId="3" fillId="13" borderId="9" xfId="5" applyFont="1" applyFill="1" applyBorder="1" applyAlignment="1" applyProtection="1">
      <alignment vertical="center"/>
      <protection hidden="1"/>
    </xf>
    <xf numFmtId="0" fontId="9" fillId="13" borderId="10" xfId="3" applyFont="1" applyFill="1" applyBorder="1" applyAlignment="1" applyProtection="1">
      <alignment horizontal="center" vertical="center"/>
      <protection hidden="1"/>
    </xf>
    <xf numFmtId="164" fontId="3" fillId="13" borderId="10" xfId="3" applyNumberFormat="1" applyFont="1" applyFill="1" applyBorder="1" applyAlignment="1" applyProtection="1">
      <alignment horizontal="center" vertical="center"/>
      <protection hidden="1"/>
    </xf>
    <xf numFmtId="164" fontId="3" fillId="13" borderId="11" xfId="3" applyNumberFormat="1" applyFont="1" applyFill="1" applyBorder="1" applyAlignment="1" applyProtection="1">
      <alignment horizontal="center" vertical="center"/>
      <protection hidden="1"/>
    </xf>
    <xf numFmtId="2" fontId="3" fillId="0" borderId="3" xfId="3" applyNumberFormat="1" applyFont="1" applyFill="1" applyBorder="1" applyAlignment="1" applyProtection="1">
      <alignment horizontal="left" vertical="center"/>
      <protection hidden="1"/>
    </xf>
    <xf numFmtId="2" fontId="9" fillId="0" borderId="3" xfId="3" applyNumberFormat="1" applyFont="1" applyFill="1" applyBorder="1" applyAlignment="1" applyProtection="1">
      <alignment horizontal="center" vertical="center"/>
      <protection hidden="1"/>
    </xf>
    <xf numFmtId="2" fontId="3" fillId="8" borderId="3" xfId="3" applyNumberFormat="1" applyFont="1" applyFill="1" applyBorder="1" applyAlignment="1" applyProtection="1">
      <alignment horizontal="center" vertical="center"/>
      <protection locked="0" hidden="1"/>
    </xf>
    <xf numFmtId="2" fontId="3" fillId="0" borderId="3" xfId="3" applyNumberFormat="1" applyFont="1" applyFill="1" applyBorder="1" applyAlignment="1" applyProtection="1">
      <alignment horizontal="center" vertical="center"/>
      <protection hidden="1"/>
    </xf>
    <xf numFmtId="2" fontId="3" fillId="0" borderId="4" xfId="3" applyNumberFormat="1" applyFont="1" applyFill="1" applyBorder="1" applyAlignment="1" applyProtection="1">
      <alignment horizontal="left" vertical="center"/>
      <protection hidden="1"/>
    </xf>
    <xf numFmtId="2" fontId="9" fillId="0" borderId="4" xfId="3" applyNumberFormat="1" applyFont="1" applyFill="1" applyBorder="1" applyAlignment="1" applyProtection="1">
      <alignment horizontal="center" vertical="center"/>
      <protection hidden="1"/>
    </xf>
    <xf numFmtId="2" fontId="3" fillId="8" borderId="4" xfId="3" applyNumberFormat="1" applyFont="1" applyFill="1" applyBorder="1" applyAlignment="1" applyProtection="1">
      <alignment horizontal="center" vertical="center"/>
      <protection locked="0" hidden="1"/>
    </xf>
    <xf numFmtId="2" fontId="3" fillId="0" borderId="5" xfId="3" applyNumberFormat="1" applyFont="1" applyFill="1" applyBorder="1" applyAlignment="1" applyProtection="1">
      <alignment horizontal="left" vertical="center"/>
      <protection hidden="1"/>
    </xf>
    <xf numFmtId="2" fontId="9" fillId="0" borderId="5" xfId="3" applyNumberFormat="1" applyFont="1" applyFill="1" applyBorder="1" applyAlignment="1" applyProtection="1">
      <alignment horizontal="center" vertical="center"/>
      <protection hidden="1"/>
    </xf>
    <xf numFmtId="2" fontId="3" fillId="10" borderId="5" xfId="3" applyNumberFormat="1" applyFont="1" applyFill="1" applyBorder="1" applyAlignment="1" applyProtection="1">
      <alignment horizontal="center" vertical="center"/>
      <protection hidden="1"/>
    </xf>
    <xf numFmtId="2" fontId="3" fillId="0" borderId="5" xfId="3" applyNumberFormat="1" applyFont="1" applyFill="1" applyBorder="1" applyAlignment="1" applyProtection="1">
      <alignment horizontal="center" vertical="center"/>
      <protection hidden="1"/>
    </xf>
    <xf numFmtId="0" fontId="9" fillId="0" borderId="3" xfId="3" applyFont="1" applyFill="1" applyBorder="1" applyAlignment="1" applyProtection="1">
      <alignment horizontal="center" vertical="center"/>
      <protection hidden="1"/>
    </xf>
    <xf numFmtId="0" fontId="9" fillId="0" borderId="4" xfId="3" applyFont="1" applyFill="1" applyBorder="1" applyAlignment="1" applyProtection="1">
      <alignment horizontal="center" vertical="center"/>
      <protection hidden="1"/>
    </xf>
    <xf numFmtId="164" fontId="3" fillId="3" borderId="4" xfId="3" applyNumberFormat="1" applyFont="1" applyFill="1" applyBorder="1" applyAlignment="1" applyProtection="1">
      <alignment horizontal="center" vertical="center"/>
      <protection hidden="1"/>
    </xf>
    <xf numFmtId="164" fontId="3" fillId="0" borderId="4" xfId="3" applyNumberFormat="1" applyFont="1" applyFill="1" applyBorder="1" applyAlignment="1" applyProtection="1">
      <alignment horizontal="center" vertical="center"/>
      <protection hidden="1"/>
    </xf>
    <xf numFmtId="0" fontId="3" fillId="0" borderId="7" xfId="3" applyFont="1" applyFill="1" applyBorder="1" applyAlignment="1" applyProtection="1">
      <alignment vertical="center"/>
      <protection hidden="1"/>
    </xf>
    <xf numFmtId="0" fontId="9" fillId="0" borderId="7" xfId="3" applyFont="1" applyFill="1" applyBorder="1" applyAlignment="1" applyProtection="1">
      <alignment horizontal="center" vertical="center"/>
      <protection hidden="1"/>
    </xf>
    <xf numFmtId="164" fontId="3" fillId="3" borderId="7" xfId="3" applyNumberFormat="1" applyFont="1" applyFill="1" applyBorder="1" applyAlignment="1" applyProtection="1">
      <alignment horizontal="center" vertical="center"/>
      <protection hidden="1"/>
    </xf>
    <xf numFmtId="164" fontId="3" fillId="0" borderId="7" xfId="3" applyNumberFormat="1" applyFont="1" applyFill="1" applyBorder="1" applyAlignment="1" applyProtection="1">
      <alignment horizontal="center" vertical="center"/>
      <protection hidden="1"/>
    </xf>
    <xf numFmtId="0" fontId="3" fillId="0" borderId="2" xfId="3" applyFont="1" applyFill="1" applyBorder="1" applyAlignment="1" applyProtection="1">
      <alignment vertical="center"/>
      <protection hidden="1"/>
    </xf>
    <xf numFmtId="0" fontId="9" fillId="0" borderId="2" xfId="3" applyFont="1" applyFill="1" applyBorder="1" applyAlignment="1" applyProtection="1">
      <alignment horizontal="center" vertical="center"/>
      <protection hidden="1"/>
    </xf>
    <xf numFmtId="164" fontId="3" fillId="3" borderId="2" xfId="3" applyNumberFormat="1" applyFont="1" applyFill="1" applyBorder="1" applyAlignment="1" applyProtection="1">
      <alignment horizontal="center" vertical="center"/>
      <protection hidden="1"/>
    </xf>
    <xf numFmtId="164" fontId="3" fillId="0" borderId="2" xfId="3" applyNumberFormat="1" applyFont="1" applyFill="1" applyBorder="1" applyAlignment="1" applyProtection="1">
      <alignment horizontal="center" vertical="center"/>
      <protection hidden="1"/>
    </xf>
    <xf numFmtId="0" fontId="8" fillId="0" borderId="0" xfId="3" applyAlignment="1" applyProtection="1">
      <alignment horizontal="right" vertical="center"/>
      <protection hidden="1"/>
    </xf>
    <xf numFmtId="164" fontId="3" fillId="10" borderId="3" xfId="3" applyNumberFormat="1" applyFont="1" applyFill="1" applyBorder="1" applyAlignment="1" applyProtection="1">
      <alignment horizontal="center" vertical="center"/>
      <protection hidden="1"/>
    </xf>
    <xf numFmtId="0" fontId="8" fillId="0" borderId="0" xfId="3" applyFill="1" applyBorder="1" applyAlignment="1" applyProtection="1">
      <alignment horizontal="right" vertical="center"/>
      <protection hidden="1"/>
    </xf>
    <xf numFmtId="164" fontId="3" fillId="10" borderId="4" xfId="3" applyNumberFormat="1" applyFont="1" applyFill="1" applyBorder="1" applyAlignment="1" applyProtection="1">
      <alignment horizontal="center" vertical="center"/>
      <protection hidden="1"/>
    </xf>
    <xf numFmtId="0" fontId="9" fillId="0" borderId="5" xfId="3" applyFont="1" applyFill="1" applyBorder="1" applyAlignment="1" applyProtection="1">
      <alignment horizontal="center" vertical="center"/>
      <protection hidden="1"/>
    </xf>
    <xf numFmtId="164" fontId="3" fillId="10" borderId="5" xfId="3" applyNumberFormat="1" applyFont="1" applyFill="1" applyBorder="1" applyAlignment="1" applyProtection="1">
      <alignment horizontal="center" vertical="center"/>
      <protection hidden="1"/>
    </xf>
    <xf numFmtId="164" fontId="3" fillId="0" borderId="5" xfId="3" applyNumberFormat="1" applyFont="1" applyFill="1" applyBorder="1" applyAlignment="1" applyProtection="1">
      <alignment horizontal="center" vertical="center"/>
      <protection hidden="1"/>
    </xf>
    <xf numFmtId="0" fontId="8" fillId="0" borderId="0" xfId="3" applyFont="1" applyBorder="1" applyAlignment="1" applyProtection="1">
      <alignment horizontal="left" vertical="center"/>
      <protection hidden="1"/>
    </xf>
    <xf numFmtId="0" fontId="9" fillId="0" borderId="0" xfId="3" applyFont="1" applyBorder="1" applyAlignment="1" applyProtection="1">
      <alignment horizontal="center" vertical="center"/>
      <protection hidden="1"/>
    </xf>
    <xf numFmtId="164" fontId="8" fillId="0" borderId="0" xfId="3" applyNumberFormat="1" applyFill="1" applyBorder="1" applyAlignment="1" applyProtection="1">
      <alignment horizontal="center" vertical="center"/>
      <protection hidden="1"/>
    </xf>
    <xf numFmtId="1" fontId="3" fillId="10" borderId="4" xfId="3" applyNumberFormat="1" applyFont="1" applyFill="1" applyBorder="1" applyAlignment="1" applyProtection="1">
      <alignment horizontal="center" vertical="center"/>
      <protection hidden="1"/>
    </xf>
    <xf numFmtId="1" fontId="3" fillId="0" borderId="4" xfId="3" applyNumberFormat="1" applyFont="1" applyFill="1" applyBorder="1" applyAlignment="1" applyProtection="1">
      <alignment horizontal="center" vertical="center"/>
      <protection hidden="1"/>
    </xf>
    <xf numFmtId="2" fontId="8" fillId="0" borderId="0" xfId="3" applyNumberFormat="1" applyFill="1" applyBorder="1" applyAlignment="1" applyProtection="1">
      <alignment vertical="center"/>
      <protection hidden="1"/>
    </xf>
    <xf numFmtId="1" fontId="3" fillId="0" borderId="4" xfId="3" applyNumberFormat="1" applyFont="1" applyFill="1" applyBorder="1" applyAlignment="1" applyProtection="1">
      <alignment horizontal="left" vertical="center"/>
      <protection hidden="1"/>
    </xf>
    <xf numFmtId="1" fontId="9" fillId="0" borderId="4" xfId="3" applyNumberFormat="1" applyFont="1" applyFill="1" applyBorder="1" applyAlignment="1" applyProtection="1">
      <alignment horizontal="center" vertical="center"/>
      <protection hidden="1"/>
    </xf>
    <xf numFmtId="1" fontId="3" fillId="3" borderId="4" xfId="3" applyNumberFormat="1" applyFont="1" applyFill="1" applyBorder="1" applyAlignment="1" applyProtection="1">
      <alignment horizontal="center" vertical="center"/>
      <protection hidden="1"/>
    </xf>
    <xf numFmtId="0" fontId="8" fillId="0" borderId="0" xfId="3" applyFill="1" applyBorder="1" applyAlignment="1" applyProtection="1">
      <alignment vertical="center"/>
      <protection hidden="1"/>
    </xf>
    <xf numFmtId="0" fontId="9" fillId="12" borderId="10" xfId="3" applyFont="1" applyFill="1" applyBorder="1" applyAlignment="1" applyProtection="1">
      <alignment horizontal="center" vertical="center"/>
      <protection hidden="1"/>
    </xf>
    <xf numFmtId="164" fontId="3" fillId="12" borderId="10" xfId="3" applyNumberFormat="1" applyFont="1" applyFill="1" applyBorder="1" applyAlignment="1" applyProtection="1">
      <alignment horizontal="center" vertical="center"/>
      <protection hidden="1"/>
    </xf>
    <xf numFmtId="164" fontId="3" fillId="12" borderId="11" xfId="3" applyNumberFormat="1" applyFont="1" applyFill="1" applyBorder="1" applyAlignment="1" applyProtection="1">
      <alignment horizontal="center" vertical="center"/>
      <protection hidden="1"/>
    </xf>
    <xf numFmtId="0" fontId="3" fillId="8" borderId="3" xfId="3" applyFont="1" applyFill="1" applyBorder="1" applyAlignment="1" applyProtection="1">
      <alignment horizontal="center" vertical="center"/>
      <protection locked="0" hidden="1"/>
    </xf>
    <xf numFmtId="0" fontId="3" fillId="0" borderId="3" xfId="3" applyFont="1" applyFill="1" applyBorder="1" applyAlignment="1" applyProtection="1">
      <alignment horizontal="center" vertical="center"/>
      <protection hidden="1"/>
    </xf>
    <xf numFmtId="0" fontId="3" fillId="11" borderId="4" xfId="3" applyFont="1" applyFill="1" applyBorder="1" applyAlignment="1" applyProtection="1">
      <alignment horizontal="center" vertical="center"/>
      <protection locked="0" hidden="1"/>
    </xf>
    <xf numFmtId="164" fontId="3" fillId="3" borderId="5" xfId="3" applyNumberFormat="1" applyFont="1" applyFill="1" applyBorder="1" applyAlignment="1" applyProtection="1">
      <alignment horizontal="center" vertical="center"/>
      <protection hidden="1"/>
    </xf>
    <xf numFmtId="0" fontId="3" fillId="2" borderId="3" xfId="3" applyFont="1" applyFill="1" applyBorder="1" applyAlignment="1" applyProtection="1">
      <alignment horizontal="center" vertical="center"/>
      <protection locked="0" hidden="1"/>
    </xf>
    <xf numFmtId="2" fontId="3" fillId="11" borderId="3" xfId="3" applyNumberFormat="1" applyFont="1" applyFill="1" applyBorder="1" applyAlignment="1" applyProtection="1">
      <alignment horizontal="center" vertical="center"/>
      <protection locked="0" hidden="1"/>
    </xf>
    <xf numFmtId="1" fontId="3" fillId="3" borderId="3" xfId="3" applyNumberFormat="1" applyFont="1" applyFill="1" applyBorder="1" applyAlignment="1" applyProtection="1">
      <alignment horizontal="center" vertical="center"/>
      <protection hidden="1"/>
    </xf>
    <xf numFmtId="0" fontId="3" fillId="0" borderId="17" xfId="5" applyFont="1" applyFill="1" applyBorder="1" applyAlignment="1" applyProtection="1">
      <alignment vertical="center"/>
      <protection hidden="1"/>
    </xf>
    <xf numFmtId="2" fontId="9" fillId="0" borderId="18" xfId="5" applyNumberFormat="1" applyFont="1" applyFill="1" applyBorder="1" applyAlignment="1" applyProtection="1">
      <alignment horizontal="center" vertical="center"/>
      <protection hidden="1"/>
    </xf>
    <xf numFmtId="2" fontId="3" fillId="3" borderId="18" xfId="5" applyNumberFormat="1" applyFont="1" applyFill="1" applyBorder="1" applyAlignment="1" applyProtection="1">
      <alignment horizontal="center" vertical="center"/>
      <protection hidden="1"/>
    </xf>
    <xf numFmtId="2" fontId="3" fillId="0" borderId="18" xfId="5" applyNumberFormat="1" applyFont="1" applyFill="1" applyBorder="1" applyAlignment="1" applyProtection="1">
      <alignment horizontal="center" vertical="center"/>
      <protection hidden="1"/>
    </xf>
    <xf numFmtId="0" fontId="3" fillId="0" borderId="8" xfId="5" applyFont="1" applyFill="1" applyBorder="1" applyAlignment="1" applyProtection="1">
      <alignment vertical="center"/>
      <protection hidden="1"/>
    </xf>
    <xf numFmtId="2" fontId="9" fillId="0" borderId="4" xfId="5" applyNumberFormat="1" applyFont="1" applyFill="1" applyBorder="1" applyAlignment="1" applyProtection="1">
      <alignment horizontal="center" vertical="center"/>
      <protection hidden="1"/>
    </xf>
    <xf numFmtId="2" fontId="3" fillId="3" borderId="4" xfId="5" applyNumberFormat="1" applyFont="1" applyFill="1" applyBorder="1" applyAlignment="1" applyProtection="1">
      <alignment horizontal="center" vertical="center"/>
      <protection hidden="1"/>
    </xf>
    <xf numFmtId="2" fontId="3" fillId="0" borderId="4" xfId="5" applyNumberFormat="1" applyFont="1" applyFill="1" applyBorder="1" applyAlignment="1" applyProtection="1">
      <alignment horizontal="center" vertical="center"/>
      <protection hidden="1"/>
    </xf>
    <xf numFmtId="0" fontId="3" fillId="0" borderId="19" xfId="5" applyFont="1" applyFill="1" applyBorder="1" applyAlignment="1" applyProtection="1">
      <alignment vertical="center"/>
      <protection hidden="1"/>
    </xf>
    <xf numFmtId="2" fontId="9" fillId="0" borderId="7" xfId="5" applyNumberFormat="1" applyFont="1" applyFill="1" applyBorder="1" applyAlignment="1" applyProtection="1">
      <alignment horizontal="center" vertical="center"/>
      <protection hidden="1"/>
    </xf>
    <xf numFmtId="2" fontId="3" fillId="3" borderId="7" xfId="5" applyNumberFormat="1" applyFont="1" applyFill="1" applyBorder="1" applyAlignment="1" applyProtection="1">
      <alignment horizontal="center" vertical="center"/>
      <protection hidden="1"/>
    </xf>
    <xf numFmtId="2" fontId="3" fillId="0" borderId="7" xfId="5" applyNumberFormat="1" applyFont="1" applyFill="1" applyBorder="1" applyAlignment="1" applyProtection="1">
      <alignment horizontal="center" vertical="center"/>
      <protection hidden="1"/>
    </xf>
    <xf numFmtId="0" fontId="3" fillId="0" borderId="2" xfId="5" applyFont="1" applyFill="1" applyBorder="1" applyAlignment="1" applyProtection="1">
      <alignment vertical="center"/>
      <protection hidden="1"/>
    </xf>
    <xf numFmtId="164" fontId="9" fillId="0" borderId="2" xfId="5" applyNumberFormat="1" applyFont="1" applyFill="1" applyBorder="1" applyAlignment="1" applyProtection="1">
      <alignment horizontal="center" vertical="center"/>
      <protection hidden="1"/>
    </xf>
    <xf numFmtId="164" fontId="3" fillId="10" borderId="2" xfId="5" applyNumberFormat="1" applyFont="1" applyFill="1" applyBorder="1" applyAlignment="1" applyProtection="1">
      <alignment horizontal="center" vertical="center"/>
      <protection hidden="1"/>
    </xf>
    <xf numFmtId="164" fontId="3" fillId="0" borderId="2" xfId="5" applyNumberFormat="1" applyFont="1" applyFill="1" applyBorder="1" applyAlignment="1" applyProtection="1">
      <alignment horizontal="center" vertical="center"/>
      <protection hidden="1"/>
    </xf>
    <xf numFmtId="0" fontId="3" fillId="0" borderId="0" xfId="3" applyFont="1" applyAlignment="1" applyProtection="1">
      <alignment vertical="center"/>
      <protection hidden="1"/>
    </xf>
    <xf numFmtId="0" fontId="10" fillId="0" borderId="2" xfId="5" applyFont="1" applyFill="1" applyBorder="1" applyAlignment="1" applyProtection="1">
      <alignment vertical="center"/>
      <protection hidden="1"/>
    </xf>
    <xf numFmtId="2" fontId="10" fillId="0" borderId="2" xfId="5" applyNumberFormat="1" applyFont="1" applyFill="1" applyBorder="1" applyAlignment="1" applyProtection="1">
      <alignment horizontal="center" vertical="center"/>
      <protection hidden="1"/>
    </xf>
    <xf numFmtId="2" fontId="10" fillId="10" borderId="2" xfId="5" applyNumberFormat="1" applyFont="1" applyFill="1" applyBorder="1" applyAlignment="1" applyProtection="1">
      <alignment horizontal="center" vertical="center"/>
      <protection hidden="1"/>
    </xf>
    <xf numFmtId="0" fontId="10" fillId="0" borderId="0" xfId="3" applyFont="1" applyAlignment="1" applyProtection="1">
      <alignment vertical="center"/>
      <protection hidden="1"/>
    </xf>
    <xf numFmtId="164" fontId="10" fillId="0" borderId="2" xfId="5" applyNumberFormat="1" applyFont="1" applyFill="1" applyBorder="1" applyAlignment="1" applyProtection="1">
      <alignment horizontal="center" vertical="center"/>
      <protection hidden="1"/>
    </xf>
    <xf numFmtId="164" fontId="10" fillId="10" borderId="2" xfId="5" applyNumberFormat="1" applyFont="1" applyFill="1" applyBorder="1" applyAlignment="1" applyProtection="1">
      <alignment horizontal="center" vertical="center"/>
      <protection hidden="1"/>
    </xf>
    <xf numFmtId="1" fontId="9" fillId="0" borderId="2" xfId="3" applyNumberFormat="1" applyFont="1" applyFill="1" applyBorder="1" applyAlignment="1" applyProtection="1">
      <alignment horizontal="center" vertical="center"/>
      <protection hidden="1"/>
    </xf>
    <xf numFmtId="1" fontId="3" fillId="3" borderId="2" xfId="3" applyNumberFormat="1" applyFont="1" applyFill="1" applyBorder="1" applyAlignment="1" applyProtection="1">
      <alignment horizontal="center" vertical="center"/>
      <protection hidden="1"/>
    </xf>
    <xf numFmtId="1" fontId="3" fillId="0" borderId="2" xfId="3" applyNumberFormat="1" applyFont="1" applyFill="1" applyBorder="1" applyAlignment="1" applyProtection="1">
      <alignment horizontal="center" vertical="center"/>
      <protection hidden="1"/>
    </xf>
    <xf numFmtId="0" fontId="9" fillId="8" borderId="3" xfId="3" applyFont="1" applyFill="1" applyBorder="1" applyAlignment="1" applyProtection="1">
      <alignment horizontal="center" vertical="center"/>
      <protection locked="0" hidden="1"/>
    </xf>
    <xf numFmtId="0" fontId="9" fillId="8" borderId="4" xfId="3" applyFont="1" applyFill="1" applyBorder="1" applyAlignment="1" applyProtection="1">
      <alignment horizontal="center" vertical="center"/>
      <protection locked="0" hidden="1"/>
    </xf>
    <xf numFmtId="0" fontId="9" fillId="8" borderId="5" xfId="3" applyFont="1" applyFill="1" applyBorder="1" applyAlignment="1" applyProtection="1">
      <alignment horizontal="center" vertical="center"/>
      <protection locked="0" hidden="1"/>
    </xf>
    <xf numFmtId="0" fontId="18" fillId="9" borderId="9" xfId="3" applyFont="1" applyFill="1" applyBorder="1" applyAlignment="1" applyProtection="1">
      <alignment vertical="center"/>
    </xf>
    <xf numFmtId="0" fontId="21" fillId="0" borderId="0" xfId="0" applyFont="1"/>
    <xf numFmtId="0" fontId="21" fillId="10" borderId="0" xfId="0" applyFont="1" applyFill="1" applyAlignment="1">
      <alignment horizontal="left" indent="1"/>
    </xf>
    <xf numFmtId="0" fontId="21" fillId="11" borderId="0" xfId="0" applyFont="1" applyFill="1" applyAlignment="1">
      <alignment horizontal="left" indent="1"/>
    </xf>
    <xf numFmtId="0" fontId="21" fillId="8" borderId="0" xfId="0" applyFont="1" applyFill="1" applyAlignment="1">
      <alignment horizontal="left" indent="1"/>
    </xf>
    <xf numFmtId="0" fontId="27" fillId="0" borderId="0" xfId="0" applyFont="1" applyAlignment="1" applyProtection="1">
      <alignment vertical="center"/>
      <protection hidden="1"/>
    </xf>
    <xf numFmtId="0" fontId="27" fillId="9" borderId="3" xfId="0" applyFont="1" applyFill="1" applyBorder="1" applyAlignment="1" applyProtection="1">
      <alignment horizontal="center" vertical="center"/>
      <protection hidden="1"/>
    </xf>
    <xf numFmtId="0" fontId="27" fillId="9" borderId="4" xfId="0" applyFont="1" applyFill="1" applyBorder="1" applyAlignment="1" applyProtection="1">
      <alignment horizontal="center" vertical="center"/>
      <protection hidden="1"/>
    </xf>
    <xf numFmtId="0" fontId="27" fillId="9" borderId="5" xfId="0" applyFont="1" applyFill="1" applyBorder="1" applyAlignment="1" applyProtection="1">
      <alignment horizontal="center" vertical="center"/>
      <protection hidden="1"/>
    </xf>
    <xf numFmtId="3" fontId="27" fillId="0" borderId="0" xfId="0" applyNumberFormat="1" applyFont="1" applyAlignment="1" applyProtection="1">
      <alignment vertical="center"/>
      <protection hidden="1"/>
    </xf>
    <xf numFmtId="0" fontId="28" fillId="9" borderId="10" xfId="3" applyFont="1" applyFill="1" applyBorder="1" applyAlignment="1" applyProtection="1">
      <alignment vertical="center"/>
      <protection hidden="1"/>
    </xf>
    <xf numFmtId="0" fontId="29" fillId="0" borderId="3" xfId="0" applyFont="1" applyFill="1" applyBorder="1" applyAlignment="1" applyProtection="1">
      <alignment horizontal="center" vertical="center"/>
      <protection hidden="1"/>
    </xf>
    <xf numFmtId="0" fontId="29" fillId="0" borderId="4" xfId="0" applyFont="1" applyFill="1" applyBorder="1" applyAlignment="1" applyProtection="1">
      <alignment horizontal="center" vertical="center"/>
      <protection hidden="1"/>
    </xf>
    <xf numFmtId="0" fontId="9" fillId="0" borderId="4" xfId="0" applyFont="1" applyFill="1" applyBorder="1" applyAlignment="1" applyProtection="1">
      <alignment horizontal="center" vertical="center"/>
      <protection hidden="1"/>
    </xf>
    <xf numFmtId="0" fontId="29" fillId="0" borderId="5" xfId="0" applyFont="1" applyFill="1" applyBorder="1" applyAlignment="1" applyProtection="1">
      <alignment horizontal="center" vertical="center"/>
      <protection hidden="1"/>
    </xf>
    <xf numFmtId="0" fontId="29" fillId="0" borderId="3" xfId="0" applyFont="1" applyFill="1" applyBorder="1" applyAlignment="1" applyProtection="1">
      <alignment horizontal="center" vertical="center" wrapText="1"/>
      <protection hidden="1"/>
    </xf>
    <xf numFmtId="0" fontId="29" fillId="0" borderId="4" xfId="0" applyFont="1" applyFill="1" applyBorder="1" applyAlignment="1" applyProtection="1">
      <alignment horizontal="center" vertical="center" wrapText="1"/>
      <protection hidden="1"/>
    </xf>
    <xf numFmtId="0" fontId="9" fillId="0" borderId="4"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27" fillId="0" borderId="4" xfId="0" applyFont="1" applyFill="1" applyBorder="1" applyAlignment="1" applyProtection="1">
      <alignment horizontal="center" vertical="center"/>
      <protection hidden="1"/>
    </xf>
    <xf numFmtId="0" fontId="9" fillId="0" borderId="5" xfId="0" applyFont="1" applyFill="1" applyBorder="1" applyAlignment="1" applyProtection="1">
      <alignment horizontal="center" vertical="center"/>
      <protection hidden="1"/>
    </xf>
    <xf numFmtId="0" fontId="27" fillId="0" borderId="0" xfId="0" applyFont="1" applyFill="1" applyBorder="1" applyAlignment="1" applyProtection="1">
      <alignment horizontal="center" vertical="center"/>
      <protection hidden="1"/>
    </xf>
    <xf numFmtId="3" fontId="29" fillId="0" borderId="3" xfId="0" applyNumberFormat="1" applyFont="1" applyFill="1" applyBorder="1" applyAlignment="1" applyProtection="1">
      <alignment horizontal="center" vertical="center" wrapText="1"/>
      <protection hidden="1"/>
    </xf>
    <xf numFmtId="3" fontId="29" fillId="0" borderId="4" xfId="0" applyNumberFormat="1" applyFont="1" applyFill="1" applyBorder="1" applyAlignment="1" applyProtection="1">
      <alignment horizontal="center" vertical="center" wrapText="1"/>
      <protection hidden="1"/>
    </xf>
    <xf numFmtId="3" fontId="29" fillId="0" borderId="5" xfId="0" applyNumberFormat="1" applyFont="1" applyFill="1" applyBorder="1" applyAlignment="1" applyProtection="1">
      <alignment horizontal="center" vertical="center" wrapText="1"/>
      <protection hidden="1"/>
    </xf>
    <xf numFmtId="0" fontId="27" fillId="0" borderId="5" xfId="0" applyFont="1" applyFill="1" applyBorder="1" applyAlignment="1" applyProtection="1">
      <alignment horizontal="center" vertical="center"/>
      <protection hidden="1"/>
    </xf>
    <xf numFmtId="0" fontId="29" fillId="0" borderId="7" xfId="0" applyFont="1" applyFill="1" applyBorder="1" applyAlignment="1" applyProtection="1">
      <alignment horizontal="center" vertical="center"/>
      <protection hidden="1"/>
    </xf>
    <xf numFmtId="164" fontId="27" fillId="0" borderId="3" xfId="0" applyNumberFormat="1" applyFont="1" applyFill="1" applyBorder="1" applyAlignment="1" applyProtection="1">
      <alignment horizontal="center" vertical="center"/>
      <protection hidden="1"/>
    </xf>
    <xf numFmtId="164" fontId="27" fillId="0" borderId="4" xfId="0" applyNumberFormat="1" applyFont="1" applyFill="1" applyBorder="1" applyAlignment="1" applyProtection="1">
      <alignment horizontal="center" vertical="center"/>
      <protection hidden="1"/>
    </xf>
    <xf numFmtId="164" fontId="27" fillId="0" borderId="5" xfId="0" applyNumberFormat="1" applyFont="1" applyFill="1" applyBorder="1" applyAlignment="1" applyProtection="1">
      <alignment horizontal="center" vertical="center"/>
      <protection hidden="1"/>
    </xf>
    <xf numFmtId="0" fontId="29" fillId="0" borderId="2" xfId="0" applyFont="1" applyFill="1" applyBorder="1" applyAlignment="1" applyProtection="1">
      <alignment horizontal="center" vertical="center" wrapText="1"/>
      <protection hidden="1"/>
    </xf>
    <xf numFmtId="2" fontId="30" fillId="0" borderId="0" xfId="0" applyNumberFormat="1" applyFont="1" applyFill="1" applyBorder="1" applyAlignment="1" applyProtection="1">
      <alignment horizontal="center" vertical="center"/>
      <protection hidden="1"/>
    </xf>
    <xf numFmtId="0" fontId="31" fillId="0" borderId="0" xfId="0" applyFont="1" applyFill="1" applyBorder="1" applyAlignment="1" applyProtection="1">
      <alignment vertical="center"/>
      <protection hidden="1"/>
    </xf>
    <xf numFmtId="0" fontId="30" fillId="0" borderId="0" xfId="0" applyFont="1" applyFill="1" applyBorder="1" applyAlignment="1" applyProtection="1">
      <alignment vertical="center"/>
      <protection hidden="1"/>
    </xf>
    <xf numFmtId="164" fontId="30" fillId="0" borderId="0" xfId="0" applyNumberFormat="1" applyFont="1" applyFill="1" applyBorder="1" applyAlignment="1" applyProtection="1">
      <alignment horizontal="center" vertical="center"/>
      <protection hidden="1"/>
    </xf>
    <xf numFmtId="164" fontId="30" fillId="0" borderId="0" xfId="0" applyNumberFormat="1" applyFont="1" applyFill="1" applyBorder="1" applyAlignment="1" applyProtection="1">
      <alignment horizontal="center" vertical="center" wrapText="1"/>
      <protection hidden="1"/>
    </xf>
    <xf numFmtId="0" fontId="30" fillId="0" borderId="0" xfId="0" applyFont="1" applyFill="1" applyBorder="1" applyAlignment="1" applyProtection="1">
      <alignment horizontal="center" vertical="center"/>
      <protection hidden="1"/>
    </xf>
    <xf numFmtId="0" fontId="31" fillId="0" borderId="0" xfId="0" applyFont="1" applyFill="1" applyBorder="1" applyAlignment="1" applyProtection="1">
      <alignment vertical="center" wrapText="1"/>
      <protection hidden="1"/>
    </xf>
    <xf numFmtId="0" fontId="9" fillId="9" borderId="3" xfId="3" applyFont="1" applyFill="1" applyBorder="1" applyAlignment="1" applyProtection="1">
      <alignment horizontal="center" vertical="center"/>
      <protection hidden="1"/>
    </xf>
    <xf numFmtId="0" fontId="9" fillId="14" borderId="13" xfId="3" applyFont="1" applyFill="1" applyBorder="1" applyAlignment="1" applyProtection="1">
      <alignment horizontal="center" vertical="center"/>
      <protection hidden="1"/>
    </xf>
    <xf numFmtId="0" fontId="9" fillId="14" borderId="6" xfId="3" applyFont="1" applyFill="1" applyBorder="1" applyAlignment="1" applyProtection="1">
      <alignment horizontal="center" vertical="center"/>
      <protection hidden="1"/>
    </xf>
    <xf numFmtId="0" fontId="9" fillId="0" borderId="0" xfId="3" applyFont="1" applyFill="1" applyBorder="1" applyAlignment="1" applyProtection="1">
      <alignment vertical="center"/>
      <protection hidden="1"/>
    </xf>
    <xf numFmtId="0" fontId="9" fillId="14" borderId="10" xfId="3" applyFont="1" applyFill="1" applyBorder="1" applyAlignment="1" applyProtection="1">
      <alignment horizontal="center" vertical="center"/>
      <protection hidden="1"/>
    </xf>
    <xf numFmtId="0" fontId="9" fillId="9" borderId="3" xfId="3" applyFont="1" applyFill="1" applyBorder="1" applyAlignment="1" applyProtection="1">
      <alignment vertical="center"/>
    </xf>
    <xf numFmtId="0" fontId="9" fillId="9" borderId="5" xfId="3" applyFont="1" applyFill="1" applyBorder="1" applyAlignment="1" applyProtection="1">
      <alignment vertical="center"/>
    </xf>
    <xf numFmtId="0" fontId="9" fillId="0" borderId="3" xfId="3" applyFont="1" applyFill="1" applyBorder="1" applyAlignment="1" applyProtection="1">
      <alignment horizontal="center" vertical="center"/>
    </xf>
    <xf numFmtId="0" fontId="9" fillId="0" borderId="4" xfId="3" applyFont="1" applyFill="1" applyBorder="1" applyAlignment="1" applyProtection="1">
      <alignment horizontal="center" vertical="center"/>
    </xf>
    <xf numFmtId="0" fontId="9" fillId="0" borderId="5" xfId="3" applyFont="1" applyFill="1" applyBorder="1" applyAlignment="1" applyProtection="1">
      <alignment horizontal="center" vertical="center"/>
    </xf>
    <xf numFmtId="0" fontId="9" fillId="0" borderId="0" xfId="3" applyFont="1" applyAlignment="1" applyProtection="1">
      <alignment vertical="center"/>
    </xf>
    <xf numFmtId="0" fontId="28" fillId="9" borderId="10" xfId="3" applyFont="1" applyFill="1" applyBorder="1" applyAlignment="1" applyProtection="1">
      <alignment vertical="center"/>
    </xf>
    <xf numFmtId="0" fontId="9" fillId="0" borderId="3" xfId="3" applyFont="1" applyBorder="1" applyAlignment="1" applyProtection="1">
      <alignment vertical="center"/>
    </xf>
    <xf numFmtId="0" fontId="9" fillId="0" borderId="4" xfId="3" applyFont="1" applyBorder="1" applyAlignment="1" applyProtection="1">
      <alignment vertical="center"/>
    </xf>
    <xf numFmtId="0" fontId="9" fillId="0" borderId="5" xfId="3" applyFont="1" applyBorder="1" applyAlignment="1" applyProtection="1">
      <alignment vertical="center"/>
    </xf>
  </cellXfs>
  <cellStyles count="7">
    <cellStyle name="Euro" xfId="1"/>
    <cellStyle name="Gut" xfId="2" builtinId="26"/>
    <cellStyle name="Komma" xfId="6" builtinId="3"/>
    <cellStyle name="Standard" xfId="0" builtinId="0"/>
    <cellStyle name="Standard 2" xfId="4"/>
    <cellStyle name="Standard_Datenblatt_Heinzebank 2" xfId="5"/>
    <cellStyle name="Standard_Modelle" xfId="3"/>
  </cellStyles>
  <dxfs count="74">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22"/>
        </patternFill>
      </fill>
    </dxf>
    <dxf>
      <fill>
        <patternFill>
          <bgColor indexed="22"/>
        </patternFill>
      </fill>
    </dxf>
  </dxfs>
  <tableStyles count="0" defaultTableStyle="TableStyleMedium2" defaultPivotStyle="PivotStyleLight16"/>
  <colors>
    <mruColors>
      <color rgb="FFFFFFCC"/>
      <color rgb="FFCCFFCC"/>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1"/>
  <sheetViews>
    <sheetView workbookViewId="0">
      <selection activeCell="A22" sqref="A22"/>
    </sheetView>
  </sheetViews>
  <sheetFormatPr baseColWidth="10" defaultColWidth="11.42578125" defaultRowHeight="12.75" x14ac:dyDescent="0.2"/>
  <cols>
    <col min="1" max="1" width="166.140625" style="341" customWidth="1"/>
    <col min="2" max="16384" width="11.42578125" style="341"/>
  </cols>
  <sheetData>
    <row r="1" spans="1:1" ht="15.75" customHeight="1" x14ac:dyDescent="0.2">
      <c r="A1" s="341" t="s">
        <v>226</v>
      </c>
    </row>
    <row r="2" spans="1:1" ht="15.75" customHeight="1" x14ac:dyDescent="0.2">
      <c r="A2" s="341" t="s">
        <v>225</v>
      </c>
    </row>
    <row r="3" spans="1:1" ht="15.75" customHeight="1" x14ac:dyDescent="0.2">
      <c r="A3" s="341" t="s">
        <v>224</v>
      </c>
    </row>
    <row r="4" spans="1:1" ht="15.75" customHeight="1" x14ac:dyDescent="0.2">
      <c r="A4" s="341" t="s">
        <v>223</v>
      </c>
    </row>
    <row r="5" spans="1:1" ht="15.75" customHeight="1" x14ac:dyDescent="0.2">
      <c r="A5" s="341" t="s">
        <v>222</v>
      </c>
    </row>
    <row r="6" spans="1:1" ht="15.75" customHeight="1" x14ac:dyDescent="0.2">
      <c r="A6" s="341" t="s">
        <v>221</v>
      </c>
    </row>
    <row r="7" spans="1:1" ht="15.75" customHeight="1" x14ac:dyDescent="0.2"/>
    <row r="8" spans="1:1" ht="15.75" customHeight="1" x14ac:dyDescent="0.2">
      <c r="A8" s="341" t="s">
        <v>220</v>
      </c>
    </row>
    <row r="9" spans="1:1" ht="15.75" customHeight="1" x14ac:dyDescent="0.2">
      <c r="A9" s="344" t="s">
        <v>219</v>
      </c>
    </row>
    <row r="10" spans="1:1" ht="15.75" customHeight="1" x14ac:dyDescent="0.2">
      <c r="A10" s="343" t="s">
        <v>218</v>
      </c>
    </row>
    <row r="11" spans="1:1" ht="15.75" customHeight="1" x14ac:dyDescent="0.2">
      <c r="A11" s="342" t="s">
        <v>217</v>
      </c>
    </row>
  </sheetData>
  <sheetProtection password="CDE3" sheet="1" objects="1" scenarios="1"/>
  <pageMargins left="0.70866141732283472" right="0.70866141732283472" top="0.78740157480314965" bottom="0.78740157480314965" header="0.31496062992125984" footer="0.31496062992125984"/>
  <pageSetup paperSize="9" scale="78" orientation="landscape" r:id="rId1"/>
  <headerFooter>
    <oddHeader>&amp;C&amp;F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pageSetUpPr fitToPage="1"/>
  </sheetPr>
  <dimension ref="A1:P26"/>
  <sheetViews>
    <sheetView zoomScaleNormal="100" workbookViewId="0">
      <pane xSplit="1" ySplit="3" topLeftCell="B4" activePane="bottomRight" state="frozen"/>
      <selection pane="topRight" activeCell="B1" sqref="B1"/>
      <selection pane="bottomLeft" activeCell="A4" sqref="A4"/>
      <selection pane="bottomRight" activeCell="B33" sqref="B33"/>
    </sheetView>
  </sheetViews>
  <sheetFormatPr baseColWidth="10" defaultRowHeight="15" customHeight="1" x14ac:dyDescent="0.2"/>
  <cols>
    <col min="1" max="1" width="34" style="1" customWidth="1"/>
    <col min="2" max="2" width="11.7109375" style="41" customWidth="1"/>
    <col min="3" max="3" width="13.85546875" style="1" customWidth="1"/>
    <col min="4" max="10" width="11.7109375" style="1" customWidth="1"/>
    <col min="11" max="11" width="14.5703125" style="1" customWidth="1"/>
    <col min="12" max="13" width="15.7109375" style="1" customWidth="1"/>
    <col min="14" max="14" width="14.5703125" style="1" customWidth="1"/>
    <col min="15" max="15" width="14.42578125" style="1" customWidth="1"/>
    <col min="16" max="16384" width="11.42578125" style="1"/>
  </cols>
  <sheetData>
    <row r="1" spans="1:16" s="39" customFormat="1" ht="30.75" customHeight="1" x14ac:dyDescent="0.25">
      <c r="A1" s="35" t="s">
        <v>158</v>
      </c>
      <c r="B1" s="40"/>
      <c r="C1" s="38"/>
      <c r="D1" s="38"/>
      <c r="E1" s="38"/>
      <c r="F1" s="38"/>
      <c r="G1" s="38"/>
      <c r="H1" s="38"/>
      <c r="I1" s="38"/>
      <c r="J1" s="38"/>
    </row>
    <row r="2" spans="1:16" s="36" customFormat="1" ht="15" customHeight="1" x14ac:dyDescent="0.25">
      <c r="A2" s="7" t="s">
        <v>173</v>
      </c>
      <c r="B2" s="383"/>
      <c r="C2" s="9" t="s">
        <v>175</v>
      </c>
      <c r="D2" s="10">
        <v>1</v>
      </c>
      <c r="E2" s="10">
        <v>2</v>
      </c>
      <c r="F2" s="10">
        <v>3</v>
      </c>
      <c r="G2" s="10">
        <v>4</v>
      </c>
      <c r="H2" s="10">
        <v>5</v>
      </c>
      <c r="I2" s="10">
        <v>6</v>
      </c>
      <c r="J2" s="10">
        <v>7</v>
      </c>
    </row>
    <row r="3" spans="1:16" s="37" customFormat="1" ht="18" customHeight="1" x14ac:dyDescent="0.2">
      <c r="A3" s="8" t="s">
        <v>58</v>
      </c>
      <c r="B3" s="384"/>
      <c r="C3" s="11" t="s">
        <v>139</v>
      </c>
      <c r="D3" s="12" t="s">
        <v>138</v>
      </c>
      <c r="E3" s="12" t="s">
        <v>137</v>
      </c>
      <c r="F3" s="12" t="s">
        <v>139</v>
      </c>
      <c r="G3" s="12" t="s">
        <v>140</v>
      </c>
      <c r="H3" s="12" t="s">
        <v>141</v>
      </c>
      <c r="I3" s="12" t="s">
        <v>142</v>
      </c>
      <c r="J3" s="12" t="s">
        <v>143</v>
      </c>
    </row>
    <row r="4" spans="1:16" s="36" customFormat="1" ht="15" customHeight="1" x14ac:dyDescent="0.25">
      <c r="A4" s="2" t="s">
        <v>19</v>
      </c>
      <c r="B4" s="385" t="s">
        <v>159</v>
      </c>
      <c r="C4" s="13">
        <v>480</v>
      </c>
      <c r="D4" s="14">
        <v>240</v>
      </c>
      <c r="E4" s="14">
        <v>480</v>
      </c>
      <c r="F4" s="14">
        <v>480</v>
      </c>
      <c r="G4" s="14">
        <v>720</v>
      </c>
      <c r="H4" s="14">
        <v>720</v>
      </c>
      <c r="I4" s="14">
        <v>1200</v>
      </c>
      <c r="J4" s="14">
        <v>1200</v>
      </c>
    </row>
    <row r="5" spans="1:16" s="36" customFormat="1" ht="15" customHeight="1" x14ac:dyDescent="0.25">
      <c r="A5" s="3" t="s">
        <v>160</v>
      </c>
      <c r="B5" s="386" t="s">
        <v>161</v>
      </c>
      <c r="C5" s="15">
        <v>410</v>
      </c>
      <c r="D5" s="4">
        <v>410</v>
      </c>
      <c r="E5" s="4">
        <v>410</v>
      </c>
      <c r="F5" s="4">
        <v>410</v>
      </c>
      <c r="G5" s="4">
        <v>410</v>
      </c>
      <c r="H5" s="4">
        <v>410</v>
      </c>
      <c r="I5" s="4">
        <v>410</v>
      </c>
      <c r="J5" s="4">
        <v>410</v>
      </c>
    </row>
    <row r="6" spans="1:16" s="36" customFormat="1" ht="15" customHeight="1" x14ac:dyDescent="0.25">
      <c r="A6" s="3" t="s">
        <v>21</v>
      </c>
      <c r="B6" s="386" t="s">
        <v>161</v>
      </c>
      <c r="C6" s="15">
        <v>56</v>
      </c>
      <c r="D6" s="4">
        <v>56</v>
      </c>
      <c r="E6" s="4">
        <v>56</v>
      </c>
      <c r="F6" s="4">
        <v>56</v>
      </c>
      <c r="G6" s="4">
        <v>56</v>
      </c>
      <c r="H6" s="4">
        <v>56</v>
      </c>
      <c r="I6" s="4">
        <v>56</v>
      </c>
      <c r="J6" s="4">
        <v>56</v>
      </c>
    </row>
    <row r="7" spans="1:16" ht="15" customHeight="1" x14ac:dyDescent="0.2">
      <c r="A7" s="3" t="s">
        <v>162</v>
      </c>
      <c r="B7" s="386" t="s">
        <v>159</v>
      </c>
      <c r="C7" s="16">
        <f>C4*(C5-C6)/C5</f>
        <v>414.4390243902439</v>
      </c>
      <c r="D7" s="17">
        <f>D4*(D5-D6)/D5</f>
        <v>207.21951219512195</v>
      </c>
      <c r="E7" s="17">
        <f t="shared" ref="E7:J7" si="0">E4*(E5-E6)/E5</f>
        <v>414.4390243902439</v>
      </c>
      <c r="F7" s="17">
        <f t="shared" si="0"/>
        <v>414.4390243902439</v>
      </c>
      <c r="G7" s="17">
        <f t="shared" si="0"/>
        <v>621.65853658536582</v>
      </c>
      <c r="H7" s="17">
        <f t="shared" si="0"/>
        <v>621.65853658536582</v>
      </c>
      <c r="I7" s="17">
        <f t="shared" si="0"/>
        <v>1036.0975609756097</v>
      </c>
      <c r="J7" s="17">
        <f t="shared" si="0"/>
        <v>1036.0975609756097</v>
      </c>
      <c r="P7" s="36"/>
    </row>
    <row r="8" spans="1:16" ht="15" customHeight="1" x14ac:dyDescent="0.2">
      <c r="A8" s="3" t="s">
        <v>163</v>
      </c>
      <c r="B8" s="386" t="s">
        <v>164</v>
      </c>
      <c r="C8" s="18">
        <v>10000</v>
      </c>
      <c r="D8" s="17">
        <v>10000</v>
      </c>
      <c r="E8" s="17">
        <v>10000</v>
      </c>
      <c r="F8" s="17">
        <v>10000</v>
      </c>
      <c r="G8" s="17">
        <v>10000</v>
      </c>
      <c r="H8" s="17">
        <v>10000</v>
      </c>
      <c r="I8" s="17">
        <v>10000</v>
      </c>
      <c r="J8" s="17">
        <v>10000</v>
      </c>
      <c r="P8" s="36"/>
    </row>
    <row r="9" spans="1:16" ht="15" customHeight="1" x14ac:dyDescent="0.2">
      <c r="A9" s="3" t="s">
        <v>165</v>
      </c>
      <c r="B9" s="386" t="s">
        <v>166</v>
      </c>
      <c r="C9" s="19">
        <f>C8*C4/365</f>
        <v>13150.684931506848</v>
      </c>
      <c r="D9" s="17">
        <f>D8*D4/365</f>
        <v>6575.3424657534242</v>
      </c>
      <c r="E9" s="17">
        <f>E8*E4/365</f>
        <v>13150.684931506848</v>
      </c>
      <c r="F9" s="17">
        <f t="shared" ref="F9:J9" si="1">F8*F4/365</f>
        <v>13150.684931506848</v>
      </c>
      <c r="G9" s="17">
        <f t="shared" si="1"/>
        <v>19726.027397260274</v>
      </c>
      <c r="H9" s="17">
        <f t="shared" si="1"/>
        <v>19726.027397260274</v>
      </c>
      <c r="I9" s="17">
        <f t="shared" si="1"/>
        <v>32876.71232876712</v>
      </c>
      <c r="J9" s="17">
        <f t="shared" si="1"/>
        <v>32876.71232876712</v>
      </c>
    </row>
    <row r="10" spans="1:16" ht="15" customHeight="1" x14ac:dyDescent="0.2">
      <c r="A10" s="3" t="s">
        <v>24</v>
      </c>
      <c r="B10" s="386" t="s">
        <v>167</v>
      </c>
      <c r="C10" s="20">
        <f>C8*C4/365/C7</f>
        <v>31.731290147821372</v>
      </c>
      <c r="D10" s="21">
        <f>D8*D4/365/D7</f>
        <v>31.731290147821372</v>
      </c>
      <c r="E10" s="21">
        <f>E8*E4/365/E7</f>
        <v>31.731290147821372</v>
      </c>
      <c r="F10" s="21">
        <f t="shared" ref="F10:J10" si="2">F8*F4/365/F7</f>
        <v>31.731290147821372</v>
      </c>
      <c r="G10" s="21">
        <f t="shared" si="2"/>
        <v>31.731290147821376</v>
      </c>
      <c r="H10" s="21">
        <f t="shared" si="2"/>
        <v>31.731290147821376</v>
      </c>
      <c r="I10" s="21">
        <f t="shared" si="2"/>
        <v>31.731290147821376</v>
      </c>
      <c r="J10" s="21">
        <f t="shared" si="2"/>
        <v>31.731290147821376</v>
      </c>
    </row>
    <row r="11" spans="1:16" ht="15" customHeight="1" x14ac:dyDescent="0.2">
      <c r="A11" s="3" t="s">
        <v>116</v>
      </c>
      <c r="B11" s="386" t="s">
        <v>168</v>
      </c>
      <c r="C11" s="22">
        <v>2</v>
      </c>
      <c r="D11" s="23">
        <v>2</v>
      </c>
      <c r="E11" s="23">
        <v>2</v>
      </c>
      <c r="F11" s="23">
        <v>2</v>
      </c>
      <c r="G11" s="23">
        <v>2</v>
      </c>
      <c r="H11" s="23">
        <v>2</v>
      </c>
      <c r="I11" s="23">
        <v>2</v>
      </c>
      <c r="J11" s="23">
        <v>2</v>
      </c>
    </row>
    <row r="12" spans="1:16" ht="15" customHeight="1" x14ac:dyDescent="0.2">
      <c r="A12" s="3" t="s">
        <v>25</v>
      </c>
      <c r="B12" s="386" t="s">
        <v>168</v>
      </c>
      <c r="C12" s="15">
        <v>2</v>
      </c>
      <c r="D12" s="4">
        <v>2</v>
      </c>
      <c r="E12" s="4">
        <v>2</v>
      </c>
      <c r="F12" s="4">
        <v>2</v>
      </c>
      <c r="G12" s="4">
        <v>2</v>
      </c>
      <c r="H12" s="4">
        <v>2</v>
      </c>
      <c r="I12" s="4">
        <v>2</v>
      </c>
      <c r="J12" s="4">
        <v>2</v>
      </c>
    </row>
    <row r="13" spans="1:16" ht="15" customHeight="1" x14ac:dyDescent="0.2">
      <c r="A13" s="3" t="s">
        <v>169</v>
      </c>
      <c r="B13" s="386" t="s">
        <v>170</v>
      </c>
      <c r="C13" s="20">
        <f>C10/C12</f>
        <v>15.865645073910686</v>
      </c>
      <c r="D13" s="21">
        <f>D10/D12</f>
        <v>15.865645073910686</v>
      </c>
      <c r="E13" s="21">
        <f>E10/E12</f>
        <v>15.865645073910686</v>
      </c>
      <c r="F13" s="21">
        <f t="shared" ref="F13:J13" si="3">F10/F12</f>
        <v>15.865645073910686</v>
      </c>
      <c r="G13" s="21">
        <f t="shared" si="3"/>
        <v>15.865645073910688</v>
      </c>
      <c r="H13" s="21">
        <f t="shared" si="3"/>
        <v>15.865645073910688</v>
      </c>
      <c r="I13" s="21">
        <f t="shared" si="3"/>
        <v>15.865645073910688</v>
      </c>
      <c r="J13" s="21">
        <f t="shared" si="3"/>
        <v>15.865645073910688</v>
      </c>
    </row>
    <row r="14" spans="1:16" ht="15" customHeight="1" x14ac:dyDescent="0.2">
      <c r="A14" s="3" t="s">
        <v>27</v>
      </c>
      <c r="B14" s="386" t="s">
        <v>171</v>
      </c>
      <c r="C14" s="24">
        <v>2</v>
      </c>
      <c r="D14" s="21">
        <v>2</v>
      </c>
      <c r="E14" s="21">
        <v>2</v>
      </c>
      <c r="F14" s="21">
        <v>2</v>
      </c>
      <c r="G14" s="21">
        <v>2</v>
      </c>
      <c r="H14" s="21">
        <v>2</v>
      </c>
      <c r="I14" s="21">
        <v>2</v>
      </c>
      <c r="J14" s="21">
        <v>2</v>
      </c>
    </row>
    <row r="15" spans="1:16" ht="15" customHeight="1" x14ac:dyDescent="0.2">
      <c r="A15" s="3" t="s">
        <v>172</v>
      </c>
      <c r="B15" s="386" t="s">
        <v>57</v>
      </c>
      <c r="C15" s="20">
        <f>C13/C14</f>
        <v>7.9328225369553431</v>
      </c>
      <c r="D15" s="21">
        <f>D13/D14</f>
        <v>7.9328225369553431</v>
      </c>
      <c r="E15" s="21">
        <f>E13/E14</f>
        <v>7.9328225369553431</v>
      </c>
      <c r="F15" s="21">
        <f t="shared" ref="F15:J15" si="4">F13/F14</f>
        <v>7.9328225369553431</v>
      </c>
      <c r="G15" s="21">
        <f t="shared" si="4"/>
        <v>7.932822536955344</v>
      </c>
      <c r="H15" s="21">
        <f t="shared" si="4"/>
        <v>7.932822536955344</v>
      </c>
      <c r="I15" s="21">
        <f t="shared" si="4"/>
        <v>7.932822536955344</v>
      </c>
      <c r="J15" s="21">
        <f t="shared" si="4"/>
        <v>7.932822536955344</v>
      </c>
    </row>
    <row r="16" spans="1:16" ht="15" customHeight="1" x14ac:dyDescent="0.2">
      <c r="A16" s="3" t="s">
        <v>106</v>
      </c>
      <c r="B16" s="386" t="s">
        <v>168</v>
      </c>
      <c r="C16" s="19">
        <f>C12*C7</f>
        <v>828.8780487804878</v>
      </c>
      <c r="D16" s="17">
        <f>D12*D7</f>
        <v>414.4390243902439</v>
      </c>
      <c r="E16" s="17">
        <f>E12*E7</f>
        <v>828.8780487804878</v>
      </c>
      <c r="F16" s="17">
        <f t="shared" ref="F16:J16" si="5">F12*F7</f>
        <v>828.8780487804878</v>
      </c>
      <c r="G16" s="17">
        <f t="shared" si="5"/>
        <v>1243.3170731707316</v>
      </c>
      <c r="H16" s="17">
        <f t="shared" si="5"/>
        <v>1243.3170731707316</v>
      </c>
      <c r="I16" s="17">
        <f t="shared" si="5"/>
        <v>2072.1951219512193</v>
      </c>
      <c r="J16" s="17">
        <f t="shared" si="5"/>
        <v>2072.1951219512193</v>
      </c>
    </row>
    <row r="17" spans="1:10" ht="15" customHeight="1" x14ac:dyDescent="0.2">
      <c r="A17" s="5" t="s">
        <v>107</v>
      </c>
      <c r="B17" s="387" t="s">
        <v>168</v>
      </c>
      <c r="C17" s="25">
        <v>2</v>
      </c>
      <c r="D17" s="6">
        <v>2</v>
      </c>
      <c r="E17" s="6">
        <v>2</v>
      </c>
      <c r="F17" s="6">
        <v>2</v>
      </c>
      <c r="G17" s="6">
        <v>2</v>
      </c>
      <c r="H17" s="6">
        <v>2</v>
      </c>
      <c r="I17" s="6">
        <v>2</v>
      </c>
      <c r="J17" s="6">
        <v>2</v>
      </c>
    </row>
    <row r="18" spans="1:10" ht="6.95" customHeight="1" x14ac:dyDescent="0.2">
      <c r="A18" s="26"/>
      <c r="B18" s="388"/>
      <c r="C18" s="26"/>
      <c r="D18" s="26"/>
      <c r="E18" s="26"/>
      <c r="F18" s="26"/>
      <c r="G18" s="26"/>
      <c r="H18" s="26"/>
      <c r="I18" s="26"/>
      <c r="J18" s="26"/>
    </row>
    <row r="19" spans="1:10" s="37" customFormat="1" ht="18" customHeight="1" x14ac:dyDescent="0.2">
      <c r="A19" s="340" t="s">
        <v>174</v>
      </c>
      <c r="B19" s="389"/>
      <c r="C19" s="42"/>
      <c r="D19" s="42"/>
      <c r="E19" s="42"/>
      <c r="F19" s="42"/>
      <c r="G19" s="42"/>
      <c r="H19" s="42"/>
      <c r="I19" s="42"/>
      <c r="J19" s="43"/>
    </row>
    <row r="20" spans="1:10" ht="15" customHeight="1" x14ac:dyDescent="0.2">
      <c r="A20" s="27" t="s">
        <v>59</v>
      </c>
      <c r="B20" s="390"/>
      <c r="C20" s="28" t="s">
        <v>63</v>
      </c>
      <c r="D20" s="29" t="s">
        <v>63</v>
      </c>
      <c r="E20" s="29" t="s">
        <v>63</v>
      </c>
      <c r="F20" s="29" t="s">
        <v>63</v>
      </c>
      <c r="G20" s="29" t="s">
        <v>63</v>
      </c>
      <c r="H20" s="29" t="s">
        <v>63</v>
      </c>
      <c r="I20" s="29" t="s">
        <v>63</v>
      </c>
      <c r="J20" s="29" t="s">
        <v>63</v>
      </c>
    </row>
    <row r="21" spans="1:10" ht="15" customHeight="1" x14ac:dyDescent="0.2">
      <c r="A21" s="30" t="s">
        <v>60</v>
      </c>
      <c r="B21" s="391"/>
      <c r="C21" s="31" t="s">
        <v>63</v>
      </c>
      <c r="D21" s="21" t="s">
        <v>63</v>
      </c>
      <c r="E21" s="21" t="s">
        <v>63</v>
      </c>
      <c r="F21" s="21" t="s">
        <v>63</v>
      </c>
      <c r="G21" s="21" t="s">
        <v>63</v>
      </c>
      <c r="H21" s="21" t="s">
        <v>63</v>
      </c>
      <c r="I21" s="21" t="s">
        <v>63</v>
      </c>
      <c r="J21" s="21" t="s">
        <v>63</v>
      </c>
    </row>
    <row r="22" spans="1:10" ht="15" customHeight="1" x14ac:dyDescent="0.2">
      <c r="A22" s="30" t="s">
        <v>122</v>
      </c>
      <c r="B22" s="391"/>
      <c r="C22" s="31" t="s">
        <v>63</v>
      </c>
      <c r="D22" s="21" t="s">
        <v>63</v>
      </c>
      <c r="E22" s="21" t="s">
        <v>63</v>
      </c>
      <c r="F22" s="21" t="s">
        <v>63</v>
      </c>
      <c r="G22" s="21" t="s">
        <v>63</v>
      </c>
      <c r="H22" s="21" t="s">
        <v>63</v>
      </c>
      <c r="I22" s="21" t="s">
        <v>63</v>
      </c>
      <c r="J22" s="21" t="s">
        <v>63</v>
      </c>
    </row>
    <row r="23" spans="1:10" ht="15" customHeight="1" x14ac:dyDescent="0.2">
      <c r="A23" s="30" t="s">
        <v>56</v>
      </c>
      <c r="B23" s="391"/>
      <c r="C23" s="31" t="s">
        <v>63</v>
      </c>
      <c r="D23" s="21" t="s">
        <v>63</v>
      </c>
      <c r="E23" s="21" t="s">
        <v>63</v>
      </c>
      <c r="F23" s="21" t="s">
        <v>63</v>
      </c>
      <c r="G23" s="21" t="s">
        <v>63</v>
      </c>
      <c r="H23" s="21" t="s">
        <v>63</v>
      </c>
      <c r="I23" s="21" t="s">
        <v>63</v>
      </c>
      <c r="J23" s="21" t="s">
        <v>63</v>
      </c>
    </row>
    <row r="24" spans="1:10" ht="15" customHeight="1" x14ac:dyDescent="0.2">
      <c r="A24" s="30" t="s">
        <v>61</v>
      </c>
      <c r="B24" s="391"/>
      <c r="C24" s="31"/>
      <c r="D24" s="21" t="s">
        <v>64</v>
      </c>
      <c r="E24" s="21" t="s">
        <v>64</v>
      </c>
      <c r="F24" s="21" t="s">
        <v>64</v>
      </c>
      <c r="G24" s="21" t="s">
        <v>64</v>
      </c>
      <c r="H24" s="21" t="s">
        <v>64</v>
      </c>
      <c r="I24" s="21" t="s">
        <v>64</v>
      </c>
      <c r="J24" s="21" t="s">
        <v>64</v>
      </c>
    </row>
    <row r="25" spans="1:10" ht="15" customHeight="1" x14ac:dyDescent="0.2">
      <c r="A25" s="30" t="s">
        <v>62</v>
      </c>
      <c r="B25" s="391"/>
      <c r="C25" s="31"/>
      <c r="D25" s="21" t="s">
        <v>64</v>
      </c>
      <c r="E25" s="21"/>
      <c r="F25" s="21" t="s">
        <v>64</v>
      </c>
      <c r="G25" s="21" t="s">
        <v>64</v>
      </c>
      <c r="H25" s="21" t="s">
        <v>63</v>
      </c>
      <c r="I25" s="21" t="s">
        <v>63</v>
      </c>
      <c r="J25" s="21" t="s">
        <v>63</v>
      </c>
    </row>
    <row r="26" spans="1:10" ht="15" customHeight="1" x14ac:dyDescent="0.2">
      <c r="A26" s="32" t="s">
        <v>36</v>
      </c>
      <c r="B26" s="392"/>
      <c r="C26" s="33"/>
      <c r="D26" s="34" t="s">
        <v>64</v>
      </c>
      <c r="E26" s="34" t="s">
        <v>64</v>
      </c>
      <c r="F26" s="34" t="s">
        <v>64</v>
      </c>
      <c r="G26" s="34" t="s">
        <v>64</v>
      </c>
      <c r="H26" s="34" t="s">
        <v>64</v>
      </c>
      <c r="I26" s="34" t="s">
        <v>64</v>
      </c>
      <c r="J26" s="34" t="s">
        <v>64</v>
      </c>
    </row>
  </sheetData>
  <sheetProtection password="CDE3" sheet="1" objects="1" scenarios="1"/>
  <phoneticPr fontId="9" type="noConversion"/>
  <printOptions horizontalCentered="1"/>
  <pageMargins left="0.78740157480314965" right="0.78740157480314965" top="0.98425196850393704" bottom="0.98425196850393704" header="0.51181102362204722" footer="0.51181102362204722"/>
  <pageSetup paperSize="9" scale="91" orientation="landscape" r:id="rId1"/>
  <headerFooter alignWithMargins="0">
    <oddHeader>&amp;C&amp;F
&amp;A</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6"/>
  </sheetPr>
  <dimension ref="A1:AK95"/>
  <sheetViews>
    <sheetView zoomScaleNormal="100" workbookViewId="0">
      <pane xSplit="1" ySplit="4" topLeftCell="B34" activePane="bottomRight" state="frozen"/>
      <selection pane="topRight" activeCell="B1" sqref="B1"/>
      <selection pane="bottomLeft" activeCell="A4" sqref="A4"/>
      <selection pane="bottomRight" activeCell="L34" sqref="L34"/>
    </sheetView>
  </sheetViews>
  <sheetFormatPr baseColWidth="10" defaultRowHeight="12.75" x14ac:dyDescent="0.25"/>
  <cols>
    <col min="1" max="1" width="50.7109375" style="179" customWidth="1"/>
    <col min="2" max="2" width="18.7109375" style="225" customWidth="1"/>
    <col min="3" max="3" width="11.85546875" style="225" customWidth="1"/>
    <col min="4" max="10" width="11.85546875" style="179" customWidth="1"/>
    <col min="11" max="13" width="8.42578125" style="179" customWidth="1"/>
    <col min="14" max="16384" width="11.42578125" style="179"/>
  </cols>
  <sheetData>
    <row r="1" spans="1:10" ht="38.25" customHeight="1" x14ac:dyDescent="0.25">
      <c r="A1" s="177" t="s">
        <v>229</v>
      </c>
    </row>
    <row r="2" spans="1:10" ht="18" customHeight="1" x14ac:dyDescent="0.25">
      <c r="A2" s="180" t="s">
        <v>173</v>
      </c>
      <c r="B2" s="226"/>
      <c r="C2" s="181" t="str">
        <f>'Melkkar und Herde'!C2</f>
        <v>offen</v>
      </c>
      <c r="D2" s="181">
        <f>'Melkkar und Herde'!D2</f>
        <v>1</v>
      </c>
      <c r="E2" s="181">
        <f>'Melkkar und Herde'!E2</f>
        <v>2</v>
      </c>
      <c r="F2" s="181">
        <f>'Melkkar und Herde'!F2</f>
        <v>3</v>
      </c>
      <c r="G2" s="181">
        <f>'Melkkar und Herde'!G2</f>
        <v>4</v>
      </c>
      <c r="H2" s="181">
        <f>'Melkkar und Herde'!H2</f>
        <v>5</v>
      </c>
      <c r="I2" s="181">
        <f>'Melkkar und Herde'!I2</f>
        <v>6</v>
      </c>
      <c r="J2" s="181">
        <f>'Melkkar und Herde'!J2</f>
        <v>7</v>
      </c>
    </row>
    <row r="3" spans="1:10" ht="15" customHeight="1" x14ac:dyDescent="0.25">
      <c r="A3" s="227" t="s">
        <v>58</v>
      </c>
      <c r="B3" s="228"/>
      <c r="C3" s="183" t="str">
        <f>'Melkkar und Herde'!C3</f>
        <v>Kar IM 28</v>
      </c>
      <c r="D3" s="183" t="str">
        <f>'Melkkar und Herde'!D3</f>
        <v>Kar IM 20</v>
      </c>
      <c r="E3" s="183" t="str">
        <f>'Melkkar und Herde'!E3</f>
        <v>Kar IM 24</v>
      </c>
      <c r="F3" s="183" t="str">
        <f>'Melkkar und Herde'!F3</f>
        <v>Kar IM 28</v>
      </c>
      <c r="G3" s="183" t="str">
        <f>'Melkkar und Herde'!G3</f>
        <v>Kar IM 36</v>
      </c>
      <c r="H3" s="183" t="str">
        <f>'Melkkar und Herde'!H3</f>
        <v>Kar AM 48</v>
      </c>
      <c r="I3" s="183" t="str">
        <f>'Melkkar und Herde'!I3</f>
        <v>Kar AM 60</v>
      </c>
      <c r="J3" s="183" t="str">
        <f>'Melkkar und Herde'!J3</f>
        <v>Kar AM 72</v>
      </c>
    </row>
    <row r="4" spans="1:10" s="232" customFormat="1" ht="15" customHeight="1" x14ac:dyDescent="0.25">
      <c r="A4" s="229" t="s">
        <v>19</v>
      </c>
      <c r="B4" s="230"/>
      <c r="C4" s="231">
        <f>'Melkkar und Herde'!C4</f>
        <v>480</v>
      </c>
      <c r="D4" s="231">
        <f>'Melkkar und Herde'!D4</f>
        <v>240</v>
      </c>
      <c r="E4" s="231">
        <f>'Melkkar und Herde'!E4</f>
        <v>480</v>
      </c>
      <c r="F4" s="231">
        <f>'Melkkar und Herde'!F4</f>
        <v>480</v>
      </c>
      <c r="G4" s="231">
        <f>'Melkkar und Herde'!G4</f>
        <v>720</v>
      </c>
      <c r="H4" s="231">
        <f>'Melkkar und Herde'!H4</f>
        <v>720</v>
      </c>
      <c r="I4" s="231">
        <f>'Melkkar und Herde'!I4</f>
        <v>1200</v>
      </c>
      <c r="J4" s="231">
        <f>'Melkkar und Herde'!J4</f>
        <v>1200</v>
      </c>
    </row>
    <row r="5" spans="1:10" s="232" customFormat="1" ht="15.75" hidden="1" customHeight="1" x14ac:dyDescent="0.25">
      <c r="A5" s="179" t="s">
        <v>20</v>
      </c>
      <c r="B5" s="225"/>
      <c r="C5" s="233">
        <f>'Melkkar und Herde'!C5</f>
        <v>410</v>
      </c>
      <c r="D5" s="233">
        <f>'Melkkar und Herde'!D5</f>
        <v>410</v>
      </c>
      <c r="E5" s="233">
        <f>'Melkkar und Herde'!E5</f>
        <v>410</v>
      </c>
      <c r="F5" s="233">
        <f>'Melkkar und Herde'!F5</f>
        <v>410</v>
      </c>
      <c r="G5" s="233">
        <f>'Melkkar und Herde'!G5</f>
        <v>410</v>
      </c>
      <c r="H5" s="233">
        <f>'Melkkar und Herde'!H5</f>
        <v>410</v>
      </c>
      <c r="I5" s="233">
        <f>'Melkkar und Herde'!I5</f>
        <v>410</v>
      </c>
      <c r="J5" s="233">
        <f>'Melkkar und Herde'!J5</f>
        <v>410</v>
      </c>
    </row>
    <row r="6" spans="1:10" s="232" customFormat="1" ht="15.75" hidden="1" customHeight="1" x14ac:dyDescent="0.25">
      <c r="A6" s="179" t="s">
        <v>21</v>
      </c>
      <c r="B6" s="225"/>
      <c r="C6" s="233">
        <f>'Melkkar und Herde'!C6</f>
        <v>56</v>
      </c>
      <c r="D6" s="233">
        <f>'Melkkar und Herde'!D6</f>
        <v>56</v>
      </c>
      <c r="E6" s="233">
        <f>'Melkkar und Herde'!E6</f>
        <v>56</v>
      </c>
      <c r="F6" s="233">
        <f>'Melkkar und Herde'!F6</f>
        <v>56</v>
      </c>
      <c r="G6" s="233">
        <f>'Melkkar und Herde'!G6</f>
        <v>56</v>
      </c>
      <c r="H6" s="233">
        <f>'Melkkar und Herde'!H6</f>
        <v>56</v>
      </c>
      <c r="I6" s="233">
        <f>'Melkkar und Herde'!I6</f>
        <v>56</v>
      </c>
      <c r="J6" s="233">
        <f>'Melkkar und Herde'!J6</f>
        <v>56</v>
      </c>
    </row>
    <row r="7" spans="1:10" ht="15.75" hidden="1" customHeight="1" x14ac:dyDescent="0.25">
      <c r="A7" s="179" t="s">
        <v>22</v>
      </c>
      <c r="C7" s="234">
        <f>'Melkkar und Herde'!C7</f>
        <v>414.4390243902439</v>
      </c>
      <c r="D7" s="234">
        <f>'Melkkar und Herde'!D7</f>
        <v>207.21951219512195</v>
      </c>
      <c r="E7" s="234">
        <f>'Melkkar und Herde'!E7</f>
        <v>414.4390243902439</v>
      </c>
      <c r="F7" s="234">
        <f>'Melkkar und Herde'!F7</f>
        <v>414.4390243902439</v>
      </c>
      <c r="G7" s="234">
        <f>'Melkkar und Herde'!G7</f>
        <v>621.65853658536582</v>
      </c>
      <c r="H7" s="234">
        <f>'Melkkar und Herde'!H7</f>
        <v>621.65853658536582</v>
      </c>
      <c r="I7" s="234">
        <f>'Melkkar und Herde'!I7</f>
        <v>1036.0975609756097</v>
      </c>
      <c r="J7" s="234">
        <f>'Melkkar und Herde'!J7</f>
        <v>1036.0975609756097</v>
      </c>
    </row>
    <row r="8" spans="1:10" ht="15.75" hidden="1" customHeight="1" x14ac:dyDescent="0.25">
      <c r="A8" s="179" t="s">
        <v>23</v>
      </c>
      <c r="C8" s="235">
        <f>'Melkkar und Herde'!C8</f>
        <v>10000</v>
      </c>
      <c r="D8" s="235">
        <f>'Melkkar und Herde'!D8</f>
        <v>10000</v>
      </c>
      <c r="E8" s="235">
        <f>'Melkkar und Herde'!E8</f>
        <v>10000</v>
      </c>
      <c r="F8" s="235">
        <f>'Melkkar und Herde'!F8</f>
        <v>10000</v>
      </c>
      <c r="G8" s="235">
        <f>'Melkkar und Herde'!G8</f>
        <v>10000</v>
      </c>
      <c r="H8" s="235">
        <f>'Melkkar und Herde'!H8</f>
        <v>10000</v>
      </c>
      <c r="I8" s="235">
        <f>'Melkkar und Herde'!I8</f>
        <v>10000</v>
      </c>
      <c r="J8" s="235">
        <f>'Melkkar und Herde'!J8</f>
        <v>10000</v>
      </c>
    </row>
    <row r="9" spans="1:10" ht="15.75" hidden="1" customHeight="1" x14ac:dyDescent="0.25">
      <c r="A9" s="179" t="s">
        <v>24</v>
      </c>
      <c r="C9" s="236">
        <f>'Melkkar und Herde'!C10</f>
        <v>31.731290147821372</v>
      </c>
      <c r="D9" s="236">
        <f>'Melkkar und Herde'!D10</f>
        <v>31.731290147821372</v>
      </c>
      <c r="E9" s="236">
        <f>'Melkkar und Herde'!E10</f>
        <v>31.731290147821372</v>
      </c>
      <c r="F9" s="236">
        <f>'Melkkar und Herde'!F10</f>
        <v>31.731290147821372</v>
      </c>
      <c r="G9" s="236">
        <f>'Melkkar und Herde'!G10</f>
        <v>31.731290147821376</v>
      </c>
      <c r="H9" s="236">
        <f>'Melkkar und Herde'!H10</f>
        <v>31.731290147821376</v>
      </c>
      <c r="I9" s="236">
        <f>'Melkkar und Herde'!I10</f>
        <v>31.731290147821376</v>
      </c>
      <c r="J9" s="236">
        <f>'Melkkar und Herde'!J10</f>
        <v>31.731290147821376</v>
      </c>
    </row>
    <row r="10" spans="1:10" ht="15.75" hidden="1" customHeight="1" x14ac:dyDescent="0.25">
      <c r="A10" s="237" t="s">
        <v>84</v>
      </c>
      <c r="C10" s="235">
        <f>'Melkkar und Herde'!C12</f>
        <v>2</v>
      </c>
      <c r="D10" s="235">
        <f>'Melkkar und Herde'!D12</f>
        <v>2</v>
      </c>
      <c r="E10" s="235">
        <f>'Melkkar und Herde'!E12</f>
        <v>2</v>
      </c>
      <c r="F10" s="235">
        <f>'Melkkar und Herde'!F12</f>
        <v>2</v>
      </c>
      <c r="G10" s="235">
        <f>'Melkkar und Herde'!G12</f>
        <v>2</v>
      </c>
      <c r="H10" s="235">
        <f>'Melkkar und Herde'!H12</f>
        <v>2</v>
      </c>
      <c r="I10" s="235">
        <f>'Melkkar und Herde'!I12</f>
        <v>2</v>
      </c>
      <c r="J10" s="235">
        <f>'Melkkar und Herde'!J12</f>
        <v>2</v>
      </c>
    </row>
    <row r="11" spans="1:10" ht="15.75" hidden="1" customHeight="1" x14ac:dyDescent="0.25">
      <c r="A11" s="179" t="s">
        <v>26</v>
      </c>
      <c r="C11" s="238">
        <f>'Melkkar und Herde'!C13</f>
        <v>15.865645073910686</v>
      </c>
      <c r="D11" s="238">
        <f>'Melkkar und Herde'!D13</f>
        <v>15.865645073910686</v>
      </c>
      <c r="E11" s="238">
        <f>'Melkkar und Herde'!E13</f>
        <v>15.865645073910686</v>
      </c>
      <c r="F11" s="238">
        <f>'Melkkar und Herde'!F13</f>
        <v>15.865645073910686</v>
      </c>
      <c r="G11" s="238">
        <f>'Melkkar und Herde'!G13</f>
        <v>15.865645073910688</v>
      </c>
      <c r="H11" s="238">
        <f>'Melkkar und Herde'!H13</f>
        <v>15.865645073910688</v>
      </c>
      <c r="I11" s="238">
        <f>'Melkkar und Herde'!I13</f>
        <v>15.865645073910688</v>
      </c>
      <c r="J11" s="238">
        <f>'Melkkar und Herde'!J13</f>
        <v>15.865645073910688</v>
      </c>
    </row>
    <row r="12" spans="1:10" ht="15.75" hidden="1" customHeight="1" x14ac:dyDescent="0.25">
      <c r="A12" s="179" t="s">
        <v>27</v>
      </c>
      <c r="C12" s="239">
        <f>'Melkkar und Herde'!C14</f>
        <v>2</v>
      </c>
      <c r="D12" s="239">
        <f>'Melkkar und Herde'!D14</f>
        <v>2</v>
      </c>
      <c r="E12" s="239">
        <f>'Melkkar und Herde'!E14</f>
        <v>2</v>
      </c>
      <c r="F12" s="239">
        <f>'Melkkar und Herde'!F14</f>
        <v>2</v>
      </c>
      <c r="G12" s="239">
        <f>'Melkkar und Herde'!G14</f>
        <v>2</v>
      </c>
      <c r="H12" s="239">
        <f>'Melkkar und Herde'!H14</f>
        <v>2</v>
      </c>
      <c r="I12" s="239">
        <f>'Melkkar und Herde'!I14</f>
        <v>2</v>
      </c>
      <c r="J12" s="239">
        <f>'Melkkar und Herde'!J14</f>
        <v>2</v>
      </c>
    </row>
    <row r="13" spans="1:10" hidden="1" x14ac:dyDescent="0.25">
      <c r="A13" s="179" t="s">
        <v>28</v>
      </c>
      <c r="C13" s="239">
        <f>'Melkkar und Herde'!C15</f>
        <v>7.9328225369553431</v>
      </c>
      <c r="D13" s="239">
        <f>'Melkkar und Herde'!D15</f>
        <v>7.9328225369553431</v>
      </c>
      <c r="E13" s="239">
        <f>'Melkkar und Herde'!E15</f>
        <v>7.9328225369553431</v>
      </c>
      <c r="F13" s="239">
        <f>'Melkkar und Herde'!F15</f>
        <v>7.9328225369553431</v>
      </c>
      <c r="G13" s="239">
        <f>'Melkkar und Herde'!G15</f>
        <v>7.932822536955344</v>
      </c>
      <c r="H13" s="239">
        <f>'Melkkar und Herde'!H15</f>
        <v>7.932822536955344</v>
      </c>
      <c r="I13" s="239">
        <f>'Melkkar und Herde'!I15</f>
        <v>7.932822536955344</v>
      </c>
      <c r="J13" s="239">
        <f>'Melkkar und Herde'!J15</f>
        <v>7.932822536955344</v>
      </c>
    </row>
    <row r="14" spans="1:10" ht="15" customHeight="1" x14ac:dyDescent="0.25">
      <c r="A14" s="240" t="s">
        <v>176</v>
      </c>
      <c r="B14" s="241"/>
      <c r="C14" s="337">
        <v>28</v>
      </c>
      <c r="D14" s="242">
        <v>20</v>
      </c>
      <c r="E14" s="242">
        <v>24</v>
      </c>
      <c r="F14" s="242">
        <v>28</v>
      </c>
      <c r="G14" s="242">
        <v>36</v>
      </c>
      <c r="H14" s="242">
        <v>48</v>
      </c>
      <c r="I14" s="242">
        <v>60</v>
      </c>
      <c r="J14" s="242">
        <v>72</v>
      </c>
    </row>
    <row r="15" spans="1:10" ht="15" customHeight="1" x14ac:dyDescent="0.25">
      <c r="A15" s="243" t="s">
        <v>177</v>
      </c>
      <c r="B15" s="244"/>
      <c r="C15" s="338">
        <v>6</v>
      </c>
      <c r="D15" s="246">
        <v>4</v>
      </c>
      <c r="E15" s="246">
        <v>4</v>
      </c>
      <c r="F15" s="246">
        <v>4</v>
      </c>
      <c r="G15" s="246">
        <v>4</v>
      </c>
      <c r="H15" s="246">
        <v>6</v>
      </c>
      <c r="I15" s="246">
        <v>6</v>
      </c>
      <c r="J15" s="246">
        <v>6</v>
      </c>
    </row>
    <row r="16" spans="1:10" hidden="1" x14ac:dyDescent="0.25">
      <c r="A16" s="243" t="s">
        <v>76</v>
      </c>
      <c r="B16" s="244"/>
      <c r="C16" s="245">
        <v>1</v>
      </c>
      <c r="D16" s="246">
        <v>1</v>
      </c>
      <c r="E16" s="246">
        <v>1</v>
      </c>
      <c r="F16" s="246">
        <v>1</v>
      </c>
      <c r="G16" s="246">
        <v>1</v>
      </c>
      <c r="H16" s="246">
        <v>1</v>
      </c>
      <c r="I16" s="246">
        <v>1</v>
      </c>
      <c r="J16" s="246">
        <v>1</v>
      </c>
    </row>
    <row r="17" spans="1:19" ht="15" customHeight="1" x14ac:dyDescent="0.25">
      <c r="A17" s="247" t="s">
        <v>29</v>
      </c>
      <c r="B17" s="248"/>
      <c r="C17" s="339">
        <v>1</v>
      </c>
      <c r="D17" s="249">
        <v>1</v>
      </c>
      <c r="E17" s="249">
        <v>1</v>
      </c>
      <c r="F17" s="249">
        <v>1</v>
      </c>
      <c r="G17" s="249">
        <v>2</v>
      </c>
      <c r="H17" s="249">
        <v>2</v>
      </c>
      <c r="I17" s="249">
        <v>3</v>
      </c>
      <c r="J17" s="249">
        <v>3</v>
      </c>
    </row>
    <row r="18" spans="1:19" s="250" customFormat="1" ht="6.95" customHeight="1" x14ac:dyDescent="0.25">
      <c r="B18" s="251"/>
    </row>
    <row r="19" spans="1:19" s="256" customFormat="1" ht="18" customHeight="1" x14ac:dyDescent="0.25">
      <c r="A19" s="252" t="s">
        <v>72</v>
      </c>
      <c r="B19" s="253"/>
      <c r="C19" s="254"/>
      <c r="D19" s="254"/>
      <c r="E19" s="254"/>
      <c r="F19" s="254"/>
      <c r="G19" s="254"/>
      <c r="H19" s="254"/>
      <c r="I19" s="254"/>
      <c r="J19" s="255"/>
    </row>
    <row r="20" spans="1:19" ht="18" customHeight="1" x14ac:dyDescent="0.25">
      <c r="A20" s="257" t="s">
        <v>178</v>
      </c>
      <c r="B20" s="258"/>
      <c r="C20" s="259"/>
      <c r="D20" s="259"/>
      <c r="E20" s="259"/>
      <c r="F20" s="259"/>
      <c r="G20" s="259"/>
      <c r="H20" s="259"/>
      <c r="I20" s="259"/>
      <c r="J20" s="260"/>
    </row>
    <row r="21" spans="1:19" ht="15" customHeight="1" x14ac:dyDescent="0.25">
      <c r="A21" s="261" t="s">
        <v>31</v>
      </c>
      <c r="B21" s="262" t="s">
        <v>69</v>
      </c>
      <c r="C21" s="263">
        <v>0</v>
      </c>
      <c r="D21" s="264">
        <v>0</v>
      </c>
      <c r="E21" s="264">
        <v>0</v>
      </c>
      <c r="F21" s="264">
        <v>0</v>
      </c>
      <c r="G21" s="264">
        <v>0</v>
      </c>
      <c r="H21" s="264">
        <v>0</v>
      </c>
      <c r="I21" s="264">
        <v>0</v>
      </c>
      <c r="J21" s="264">
        <v>0</v>
      </c>
    </row>
    <row r="22" spans="1:19" ht="15" customHeight="1" x14ac:dyDescent="0.25">
      <c r="A22" s="265" t="s">
        <v>32</v>
      </c>
      <c r="B22" s="266" t="s">
        <v>69</v>
      </c>
      <c r="C22" s="267">
        <v>0.1</v>
      </c>
      <c r="D22" s="201">
        <v>0.1</v>
      </c>
      <c r="E22" s="201">
        <v>0.1</v>
      </c>
      <c r="F22" s="201">
        <v>0.1</v>
      </c>
      <c r="G22" s="201">
        <v>0.1</v>
      </c>
      <c r="H22" s="201">
        <v>0.1</v>
      </c>
      <c r="I22" s="201">
        <v>0.1</v>
      </c>
      <c r="J22" s="201">
        <v>0.1</v>
      </c>
    </row>
    <row r="23" spans="1:19" ht="15" customHeight="1" x14ac:dyDescent="0.25">
      <c r="A23" s="265" t="s">
        <v>33</v>
      </c>
      <c r="B23" s="266" t="s">
        <v>69</v>
      </c>
      <c r="C23" s="267">
        <v>0.09</v>
      </c>
      <c r="D23" s="201">
        <v>0.09</v>
      </c>
      <c r="E23" s="201">
        <v>0.09</v>
      </c>
      <c r="F23" s="201">
        <v>0.09</v>
      </c>
      <c r="G23" s="201">
        <v>0.09</v>
      </c>
      <c r="H23" s="201">
        <v>0.09</v>
      </c>
      <c r="I23" s="201">
        <v>0.09</v>
      </c>
      <c r="J23" s="201">
        <v>0.09</v>
      </c>
    </row>
    <row r="24" spans="1:19" ht="15" customHeight="1" x14ac:dyDescent="0.25">
      <c r="A24" s="265" t="s">
        <v>34</v>
      </c>
      <c r="B24" s="266" t="s">
        <v>69</v>
      </c>
      <c r="C24" s="267">
        <v>0.18</v>
      </c>
      <c r="D24" s="201">
        <v>0.18</v>
      </c>
      <c r="E24" s="201">
        <v>0.18</v>
      </c>
      <c r="F24" s="201">
        <v>0.18</v>
      </c>
      <c r="G24" s="201">
        <v>0.18</v>
      </c>
      <c r="H24" s="201">
        <v>0.18</v>
      </c>
      <c r="I24" s="201">
        <v>0.18</v>
      </c>
      <c r="J24" s="201">
        <v>0.18</v>
      </c>
    </row>
    <row r="25" spans="1:19" ht="15" customHeight="1" x14ac:dyDescent="0.25">
      <c r="A25" s="265" t="s">
        <v>35</v>
      </c>
      <c r="B25" s="266" t="s">
        <v>69</v>
      </c>
      <c r="C25" s="267">
        <v>0.12</v>
      </c>
      <c r="D25" s="201">
        <v>0.12</v>
      </c>
      <c r="E25" s="201">
        <v>0.12</v>
      </c>
      <c r="F25" s="201">
        <v>0.12</v>
      </c>
      <c r="G25" s="201">
        <v>0.12</v>
      </c>
      <c r="H25" s="201">
        <v>0</v>
      </c>
      <c r="I25" s="201">
        <v>0</v>
      </c>
      <c r="J25" s="201">
        <v>0</v>
      </c>
    </row>
    <row r="26" spans="1:19" ht="15" customHeight="1" x14ac:dyDescent="0.25">
      <c r="A26" s="265" t="s">
        <v>36</v>
      </c>
      <c r="B26" s="266" t="s">
        <v>69</v>
      </c>
      <c r="C26" s="267">
        <v>0</v>
      </c>
      <c r="D26" s="201">
        <v>0</v>
      </c>
      <c r="E26" s="201">
        <v>0</v>
      </c>
      <c r="F26" s="201">
        <v>0</v>
      </c>
      <c r="G26" s="201">
        <v>0</v>
      </c>
      <c r="H26" s="201">
        <v>0</v>
      </c>
      <c r="I26" s="201">
        <v>0</v>
      </c>
      <c r="J26" s="201">
        <v>0</v>
      </c>
    </row>
    <row r="27" spans="1:19" ht="15" customHeight="1" x14ac:dyDescent="0.25">
      <c r="A27" s="265" t="s">
        <v>37</v>
      </c>
      <c r="B27" s="266" t="s">
        <v>69</v>
      </c>
      <c r="C27" s="267">
        <v>0.25</v>
      </c>
      <c r="D27" s="201">
        <v>0.27</v>
      </c>
      <c r="E27" s="201">
        <v>0.26</v>
      </c>
      <c r="F27" s="201">
        <v>0.25</v>
      </c>
      <c r="G27" s="201">
        <v>0.24</v>
      </c>
      <c r="H27" s="201">
        <v>0.12</v>
      </c>
      <c r="I27" s="201">
        <v>0.12</v>
      </c>
      <c r="J27" s="201">
        <v>0.12</v>
      </c>
    </row>
    <row r="28" spans="1:19" ht="15" customHeight="1" x14ac:dyDescent="0.25">
      <c r="A28" s="268" t="s">
        <v>38</v>
      </c>
      <c r="B28" s="269" t="s">
        <v>69</v>
      </c>
      <c r="C28" s="270">
        <f>SUM(C21:C27)</f>
        <v>0.74</v>
      </c>
      <c r="D28" s="271">
        <f>SUM(D21:D27)</f>
        <v>0.76</v>
      </c>
      <c r="E28" s="271">
        <f t="shared" ref="E28:J28" si="0">SUM(E21:E27)</f>
        <v>0.75</v>
      </c>
      <c r="F28" s="271">
        <f t="shared" si="0"/>
        <v>0.74</v>
      </c>
      <c r="G28" s="271">
        <f t="shared" si="0"/>
        <v>0.73</v>
      </c>
      <c r="H28" s="271">
        <f t="shared" si="0"/>
        <v>0.49</v>
      </c>
      <c r="I28" s="271">
        <f t="shared" si="0"/>
        <v>0.49</v>
      </c>
      <c r="J28" s="271">
        <f t="shared" si="0"/>
        <v>0.49</v>
      </c>
    </row>
    <row r="29" spans="1:19" ht="18" customHeight="1" x14ac:dyDescent="0.25">
      <c r="A29" s="257" t="s">
        <v>179</v>
      </c>
      <c r="B29" s="258"/>
      <c r="C29" s="259"/>
      <c r="D29" s="259"/>
      <c r="E29" s="259"/>
      <c r="F29" s="259"/>
      <c r="G29" s="259"/>
      <c r="H29" s="259"/>
      <c r="I29" s="259"/>
      <c r="J29" s="260"/>
    </row>
    <row r="30" spans="1:19" ht="15" customHeight="1" x14ac:dyDescent="0.25">
      <c r="A30" s="208" t="s">
        <v>31</v>
      </c>
      <c r="B30" s="272" t="s">
        <v>30</v>
      </c>
      <c r="C30" s="209">
        <f>C21*C$14</f>
        <v>0</v>
      </c>
      <c r="D30" s="210">
        <f>D21*D$14</f>
        <v>0</v>
      </c>
      <c r="E30" s="210">
        <f>E21*E$14</f>
        <v>0</v>
      </c>
      <c r="F30" s="210">
        <f t="shared" ref="F30:J30" si="1">F21*F$14</f>
        <v>0</v>
      </c>
      <c r="G30" s="210">
        <f t="shared" si="1"/>
        <v>0</v>
      </c>
      <c r="H30" s="210">
        <f t="shared" si="1"/>
        <v>0</v>
      </c>
      <c r="I30" s="210">
        <f t="shared" si="1"/>
        <v>0</v>
      </c>
      <c r="J30" s="210">
        <f t="shared" si="1"/>
        <v>0</v>
      </c>
    </row>
    <row r="31" spans="1:19" ht="15" customHeight="1" x14ac:dyDescent="0.25">
      <c r="A31" s="211" t="s">
        <v>32</v>
      </c>
      <c r="B31" s="273" t="s">
        <v>30</v>
      </c>
      <c r="C31" s="274">
        <f t="shared" ref="C31" si="2">C22*C$14</f>
        <v>2.8000000000000003</v>
      </c>
      <c r="D31" s="275">
        <f t="shared" ref="D31:D36" si="3">D22*D$14</f>
        <v>2</v>
      </c>
      <c r="E31" s="275">
        <f t="shared" ref="E31:E36" si="4">E22*E$14</f>
        <v>2.4000000000000004</v>
      </c>
      <c r="F31" s="275">
        <f t="shared" ref="F31:J31" si="5">F22*F$14</f>
        <v>2.8000000000000003</v>
      </c>
      <c r="G31" s="275">
        <f t="shared" si="5"/>
        <v>3.6</v>
      </c>
      <c r="H31" s="275">
        <f t="shared" si="5"/>
        <v>4.8000000000000007</v>
      </c>
      <c r="I31" s="275">
        <f t="shared" si="5"/>
        <v>6</v>
      </c>
      <c r="J31" s="275">
        <f t="shared" si="5"/>
        <v>7.2</v>
      </c>
      <c r="K31" s="186"/>
      <c r="L31" s="186"/>
      <c r="M31" s="186"/>
      <c r="N31" s="186"/>
      <c r="O31" s="186"/>
      <c r="P31" s="186"/>
      <c r="Q31" s="186"/>
      <c r="R31" s="186"/>
      <c r="S31" s="186"/>
    </row>
    <row r="32" spans="1:19" ht="15" customHeight="1" x14ac:dyDescent="0.25">
      <c r="A32" s="211" t="s">
        <v>33</v>
      </c>
      <c r="B32" s="273" t="s">
        <v>30</v>
      </c>
      <c r="C32" s="274">
        <f t="shared" ref="C32" si="6">C23*C$14</f>
        <v>2.52</v>
      </c>
      <c r="D32" s="275">
        <f t="shared" si="3"/>
        <v>1.7999999999999998</v>
      </c>
      <c r="E32" s="275">
        <f t="shared" si="4"/>
        <v>2.16</v>
      </c>
      <c r="F32" s="275">
        <f t="shared" ref="F32:J32" si="7">F23*F$14</f>
        <v>2.52</v>
      </c>
      <c r="G32" s="275">
        <f t="shared" si="7"/>
        <v>3.2399999999999998</v>
      </c>
      <c r="H32" s="275">
        <f t="shared" si="7"/>
        <v>4.32</v>
      </c>
      <c r="I32" s="275">
        <f t="shared" si="7"/>
        <v>5.3999999999999995</v>
      </c>
      <c r="J32" s="275">
        <f t="shared" si="7"/>
        <v>6.4799999999999995</v>
      </c>
      <c r="K32" s="186"/>
      <c r="L32" s="186"/>
      <c r="M32" s="186"/>
      <c r="N32" s="186"/>
      <c r="O32" s="186"/>
      <c r="P32" s="186"/>
      <c r="Q32" s="186"/>
      <c r="R32" s="186"/>
      <c r="S32" s="186"/>
    </row>
    <row r="33" spans="1:37" ht="15" customHeight="1" x14ac:dyDescent="0.25">
      <c r="A33" s="211" t="s">
        <v>34</v>
      </c>
      <c r="B33" s="273" t="s">
        <v>30</v>
      </c>
      <c r="C33" s="274">
        <f t="shared" ref="C33" si="8">C24*C$14</f>
        <v>5.04</v>
      </c>
      <c r="D33" s="275">
        <f t="shared" si="3"/>
        <v>3.5999999999999996</v>
      </c>
      <c r="E33" s="275">
        <f t="shared" si="4"/>
        <v>4.32</v>
      </c>
      <c r="F33" s="275">
        <f t="shared" ref="F33:J33" si="9">F24*F$14</f>
        <v>5.04</v>
      </c>
      <c r="G33" s="275">
        <f t="shared" si="9"/>
        <v>6.4799999999999995</v>
      </c>
      <c r="H33" s="275">
        <f t="shared" si="9"/>
        <v>8.64</v>
      </c>
      <c r="I33" s="275">
        <f t="shared" si="9"/>
        <v>10.799999999999999</v>
      </c>
      <c r="J33" s="275">
        <f t="shared" si="9"/>
        <v>12.959999999999999</v>
      </c>
      <c r="K33" s="186"/>
      <c r="L33" s="186"/>
      <c r="M33" s="186"/>
      <c r="N33" s="186"/>
      <c r="O33" s="186"/>
      <c r="P33" s="186"/>
      <c r="Q33" s="186"/>
      <c r="R33" s="186"/>
      <c r="S33" s="186"/>
    </row>
    <row r="34" spans="1:37" ht="15" customHeight="1" x14ac:dyDescent="0.25">
      <c r="A34" s="211" t="s">
        <v>35</v>
      </c>
      <c r="B34" s="273" t="s">
        <v>30</v>
      </c>
      <c r="C34" s="274">
        <f t="shared" ref="C34" si="10">C25*C$14</f>
        <v>3.36</v>
      </c>
      <c r="D34" s="275">
        <f t="shared" si="3"/>
        <v>2.4</v>
      </c>
      <c r="E34" s="275">
        <f t="shared" si="4"/>
        <v>2.88</v>
      </c>
      <c r="F34" s="275">
        <f t="shared" ref="F34:J34" si="11">F25*F$14</f>
        <v>3.36</v>
      </c>
      <c r="G34" s="275">
        <f t="shared" si="11"/>
        <v>4.32</v>
      </c>
      <c r="H34" s="275">
        <f t="shared" si="11"/>
        <v>0</v>
      </c>
      <c r="I34" s="275">
        <f t="shared" si="11"/>
        <v>0</v>
      </c>
      <c r="J34" s="275">
        <f t="shared" si="11"/>
        <v>0</v>
      </c>
      <c r="K34" s="186"/>
      <c r="L34" s="186"/>
      <c r="M34" s="186"/>
      <c r="N34" s="186"/>
      <c r="O34" s="186"/>
      <c r="P34" s="186"/>
      <c r="Q34" s="186"/>
      <c r="R34" s="186"/>
      <c r="S34" s="186"/>
    </row>
    <row r="35" spans="1:37" ht="15" customHeight="1" x14ac:dyDescent="0.25">
      <c r="A35" s="211" t="s">
        <v>36</v>
      </c>
      <c r="B35" s="273" t="s">
        <v>30</v>
      </c>
      <c r="C35" s="274">
        <f t="shared" ref="C35" si="12">C26*C$14</f>
        <v>0</v>
      </c>
      <c r="D35" s="275">
        <f t="shared" si="3"/>
        <v>0</v>
      </c>
      <c r="E35" s="275">
        <f t="shared" si="4"/>
        <v>0</v>
      </c>
      <c r="F35" s="275">
        <f t="shared" ref="F35:J35" si="13">F26*F$14</f>
        <v>0</v>
      </c>
      <c r="G35" s="275">
        <f t="shared" si="13"/>
        <v>0</v>
      </c>
      <c r="H35" s="275">
        <f t="shared" si="13"/>
        <v>0</v>
      </c>
      <c r="I35" s="275">
        <f t="shared" si="13"/>
        <v>0</v>
      </c>
      <c r="J35" s="275">
        <f t="shared" si="13"/>
        <v>0</v>
      </c>
      <c r="K35" s="186"/>
      <c r="L35" s="186"/>
      <c r="M35" s="186"/>
      <c r="N35" s="186"/>
      <c r="O35" s="186"/>
      <c r="P35" s="186"/>
      <c r="Q35" s="186"/>
      <c r="R35" s="186"/>
      <c r="S35" s="186"/>
    </row>
    <row r="36" spans="1:37" ht="15" customHeight="1" x14ac:dyDescent="0.25">
      <c r="A36" s="276" t="s">
        <v>37</v>
      </c>
      <c r="B36" s="277" t="s">
        <v>30</v>
      </c>
      <c r="C36" s="278">
        <f t="shared" ref="C36" si="14">C27*C$14</f>
        <v>7</v>
      </c>
      <c r="D36" s="279">
        <f t="shared" si="3"/>
        <v>5.4</v>
      </c>
      <c r="E36" s="279">
        <f t="shared" si="4"/>
        <v>6.24</v>
      </c>
      <c r="F36" s="279">
        <f t="shared" ref="F36:J36" si="15">F27*F$14</f>
        <v>7</v>
      </c>
      <c r="G36" s="279">
        <f t="shared" si="15"/>
        <v>8.64</v>
      </c>
      <c r="H36" s="279">
        <f t="shared" si="15"/>
        <v>5.76</v>
      </c>
      <c r="I36" s="279">
        <f t="shared" si="15"/>
        <v>7.1999999999999993</v>
      </c>
      <c r="J36" s="279">
        <f t="shared" si="15"/>
        <v>8.64</v>
      </c>
      <c r="K36" s="186"/>
      <c r="L36" s="186"/>
      <c r="M36" s="186"/>
      <c r="N36" s="186"/>
      <c r="O36" s="186"/>
      <c r="P36" s="186"/>
      <c r="Q36" s="186"/>
      <c r="R36" s="186"/>
      <c r="S36" s="186"/>
    </row>
    <row r="37" spans="1:37" ht="15" customHeight="1" x14ac:dyDescent="0.25">
      <c r="A37" s="280" t="s">
        <v>38</v>
      </c>
      <c r="B37" s="281" t="s">
        <v>30</v>
      </c>
      <c r="C37" s="282">
        <f t="shared" ref="C37" si="16">SUM(C30:C36)</f>
        <v>20.72</v>
      </c>
      <c r="D37" s="283">
        <f t="shared" ref="D37:E37" si="17">SUM(D30:D36)</f>
        <v>15.2</v>
      </c>
      <c r="E37" s="283">
        <f t="shared" si="17"/>
        <v>18</v>
      </c>
      <c r="F37" s="283">
        <f t="shared" ref="F37:J37" si="18">SUM(F30:F36)</f>
        <v>20.72</v>
      </c>
      <c r="G37" s="283">
        <f t="shared" si="18"/>
        <v>26.28</v>
      </c>
      <c r="H37" s="283">
        <f t="shared" si="18"/>
        <v>23.520000000000003</v>
      </c>
      <c r="I37" s="283">
        <f t="shared" si="18"/>
        <v>29.399999999999995</v>
      </c>
      <c r="J37" s="283">
        <f t="shared" si="18"/>
        <v>35.28</v>
      </c>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row>
    <row r="38" spans="1:37" s="250" customFormat="1" ht="6.95" customHeight="1" x14ac:dyDescent="0.25">
      <c r="B38" s="251"/>
      <c r="C38" s="251"/>
    </row>
    <row r="39" spans="1:37" ht="18" customHeight="1" x14ac:dyDescent="0.25">
      <c r="A39" s="257" t="s">
        <v>39</v>
      </c>
      <c r="B39" s="258"/>
      <c r="C39" s="259"/>
      <c r="D39" s="259"/>
      <c r="E39" s="259"/>
      <c r="F39" s="259"/>
      <c r="G39" s="259"/>
      <c r="H39" s="259"/>
      <c r="I39" s="259"/>
      <c r="J39" s="260"/>
    </row>
    <row r="40" spans="1:37" ht="12.75" hidden="1" customHeight="1" x14ac:dyDescent="0.25">
      <c r="A40" s="196" t="s">
        <v>180</v>
      </c>
      <c r="B40" s="272" t="s">
        <v>57</v>
      </c>
      <c r="C40" s="285">
        <f t="shared" ref="C40" si="19">((C14-C15)/C17-1)*(C22+C23+C24+C27)</f>
        <v>13.02</v>
      </c>
      <c r="D40" s="210">
        <f t="shared" ref="D40:J40" si="20">((D14-D15)/D17-1)*(D22+D23+D24+D27)</f>
        <v>9.6</v>
      </c>
      <c r="E40" s="210">
        <f t="shared" si="20"/>
        <v>11.97</v>
      </c>
      <c r="F40" s="210">
        <f t="shared" si="20"/>
        <v>14.26</v>
      </c>
      <c r="G40" s="210">
        <f t="shared" si="20"/>
        <v>9.15</v>
      </c>
      <c r="H40" s="210">
        <f t="shared" si="20"/>
        <v>9.8000000000000007</v>
      </c>
      <c r="I40" s="210">
        <f t="shared" si="20"/>
        <v>8.33</v>
      </c>
      <c r="J40" s="210">
        <f t="shared" si="20"/>
        <v>10.29</v>
      </c>
      <c r="K40" s="286"/>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284"/>
    </row>
    <row r="41" spans="1:37" ht="12.75" hidden="1" customHeight="1" x14ac:dyDescent="0.25">
      <c r="A41" s="199" t="s">
        <v>85</v>
      </c>
      <c r="B41" s="273" t="s">
        <v>57</v>
      </c>
      <c r="C41" s="287">
        <f t="shared" ref="C41" si="21">IF(C16=1,0,C28*C14/C17)</f>
        <v>0</v>
      </c>
      <c r="D41" s="275">
        <f t="shared" ref="D41:J41" si="22">IF(D16=1,0,D28*D14/D17)</f>
        <v>0</v>
      </c>
      <c r="E41" s="275">
        <f t="shared" si="22"/>
        <v>0</v>
      </c>
      <c r="F41" s="275">
        <f t="shared" si="22"/>
        <v>0</v>
      </c>
      <c r="G41" s="275">
        <f t="shared" si="22"/>
        <v>0</v>
      </c>
      <c r="H41" s="275">
        <f t="shared" si="22"/>
        <v>0</v>
      </c>
      <c r="I41" s="275">
        <f t="shared" si="22"/>
        <v>0</v>
      </c>
      <c r="J41" s="275">
        <f t="shared" si="22"/>
        <v>0</v>
      </c>
      <c r="K41" s="286"/>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row>
    <row r="42" spans="1:37" ht="15" customHeight="1" x14ac:dyDescent="0.25">
      <c r="A42" s="199" t="s">
        <v>77</v>
      </c>
      <c r="B42" s="273" t="s">
        <v>57</v>
      </c>
      <c r="C42" s="287">
        <f t="shared" ref="C42:D42" si="23">C41+C40</f>
        <v>13.02</v>
      </c>
      <c r="D42" s="275">
        <f t="shared" si="23"/>
        <v>9.6</v>
      </c>
      <c r="E42" s="275">
        <f t="shared" ref="E42:F42" si="24">E41+E40</f>
        <v>11.97</v>
      </c>
      <c r="F42" s="275">
        <f t="shared" si="24"/>
        <v>14.26</v>
      </c>
      <c r="G42" s="275">
        <f t="shared" ref="G42:J42" si="25">G41+G40</f>
        <v>9.15</v>
      </c>
      <c r="H42" s="275">
        <f t="shared" si="25"/>
        <v>9.8000000000000007</v>
      </c>
      <c r="I42" s="275">
        <f t="shared" si="25"/>
        <v>8.33</v>
      </c>
      <c r="J42" s="275">
        <f t="shared" si="25"/>
        <v>10.29</v>
      </c>
      <c r="K42" s="286"/>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4"/>
      <c r="AI42" s="284"/>
      <c r="AJ42" s="284"/>
      <c r="AK42" s="284"/>
    </row>
    <row r="43" spans="1:37" ht="15" customHeight="1" x14ac:dyDescent="0.25">
      <c r="A43" s="205" t="s">
        <v>78</v>
      </c>
      <c r="B43" s="288" t="s">
        <v>57</v>
      </c>
      <c r="C43" s="289">
        <f t="shared" ref="C43" si="26">C13</f>
        <v>7.9328225369553431</v>
      </c>
      <c r="D43" s="290">
        <f t="shared" ref="D43:J43" si="27">D13</f>
        <v>7.9328225369553431</v>
      </c>
      <c r="E43" s="290">
        <f t="shared" si="27"/>
        <v>7.9328225369553431</v>
      </c>
      <c r="F43" s="290">
        <f t="shared" si="27"/>
        <v>7.9328225369553431</v>
      </c>
      <c r="G43" s="290">
        <f t="shared" si="27"/>
        <v>7.932822536955344</v>
      </c>
      <c r="H43" s="290">
        <f t="shared" si="27"/>
        <v>7.932822536955344</v>
      </c>
      <c r="I43" s="290">
        <f t="shared" si="27"/>
        <v>7.932822536955344</v>
      </c>
      <c r="J43" s="290">
        <f t="shared" si="27"/>
        <v>7.932822536955344</v>
      </c>
      <c r="K43" s="286"/>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284"/>
    </row>
    <row r="44" spans="1:37" ht="6.95" customHeight="1" x14ac:dyDescent="0.25">
      <c r="A44" s="291"/>
      <c r="B44" s="292"/>
      <c r="C44" s="292"/>
      <c r="D44" s="293"/>
      <c r="E44" s="293"/>
      <c r="F44" s="293"/>
      <c r="G44" s="293"/>
      <c r="H44" s="293"/>
      <c r="I44" s="293"/>
      <c r="J44" s="293"/>
      <c r="K44" s="286"/>
      <c r="L44" s="284"/>
      <c r="M44" s="284"/>
      <c r="N44" s="284"/>
      <c r="O44" s="284"/>
      <c r="P44" s="284"/>
      <c r="Q44" s="284"/>
      <c r="R44" s="284"/>
      <c r="S44" s="284"/>
      <c r="T44" s="284"/>
      <c r="U44" s="284"/>
      <c r="V44" s="284"/>
      <c r="W44" s="284"/>
      <c r="X44" s="284"/>
      <c r="Y44" s="284"/>
      <c r="Z44" s="284"/>
      <c r="AA44" s="284"/>
      <c r="AB44" s="284"/>
      <c r="AC44" s="284"/>
      <c r="AD44" s="284"/>
      <c r="AE44" s="284"/>
      <c r="AF44" s="284"/>
      <c r="AG44" s="284"/>
      <c r="AH44" s="284"/>
      <c r="AI44" s="284"/>
      <c r="AJ44" s="284"/>
      <c r="AK44" s="284"/>
    </row>
    <row r="45" spans="1:37" ht="18" customHeight="1" x14ac:dyDescent="0.25">
      <c r="A45" s="257" t="s">
        <v>79</v>
      </c>
      <c r="B45" s="258"/>
      <c r="C45" s="259"/>
      <c r="D45" s="259"/>
      <c r="E45" s="259"/>
      <c r="F45" s="259"/>
      <c r="G45" s="259"/>
      <c r="H45" s="259"/>
      <c r="I45" s="259"/>
      <c r="J45" s="260"/>
    </row>
    <row r="46" spans="1:37" ht="15" customHeight="1" x14ac:dyDescent="0.25">
      <c r="A46" s="208" t="s">
        <v>181</v>
      </c>
      <c r="B46" s="272" t="s">
        <v>57</v>
      </c>
      <c r="C46" s="285">
        <f t="shared" ref="C46" si="28">IF(C43&gt;C42,(C37+C43-C42)/C17*C16,C37/C17*C16)</f>
        <v>20.72</v>
      </c>
      <c r="D46" s="210">
        <f t="shared" ref="D46:J46" si="29">IF(D43&gt;D42,(D37+D43-D42)/D17*D16,D37/D17*D16)</f>
        <v>15.2</v>
      </c>
      <c r="E46" s="210">
        <f t="shared" si="29"/>
        <v>18</v>
      </c>
      <c r="F46" s="210">
        <f t="shared" si="29"/>
        <v>20.72</v>
      </c>
      <c r="G46" s="210">
        <f t="shared" si="29"/>
        <v>13.14</v>
      </c>
      <c r="H46" s="210">
        <f t="shared" si="29"/>
        <v>11.760000000000002</v>
      </c>
      <c r="I46" s="210">
        <f t="shared" si="29"/>
        <v>9.7999999999999989</v>
      </c>
      <c r="J46" s="210">
        <f t="shared" si="29"/>
        <v>11.76</v>
      </c>
      <c r="K46" s="286"/>
      <c r="L46" s="286"/>
      <c r="M46" s="286"/>
      <c r="N46" s="284"/>
      <c r="O46" s="284"/>
      <c r="P46" s="284"/>
      <c r="Q46" s="284"/>
      <c r="R46" s="284"/>
      <c r="S46" s="284"/>
      <c r="T46" s="284"/>
      <c r="U46" s="284"/>
      <c r="V46" s="284"/>
      <c r="W46" s="284"/>
      <c r="X46" s="284"/>
      <c r="Y46" s="284"/>
      <c r="Z46" s="284"/>
      <c r="AA46" s="284"/>
      <c r="AB46" s="284"/>
      <c r="AC46" s="284"/>
      <c r="AD46" s="284"/>
      <c r="AE46" s="284"/>
      <c r="AF46" s="284"/>
      <c r="AG46" s="284"/>
      <c r="AH46" s="284"/>
      <c r="AI46" s="284"/>
      <c r="AJ46" s="284"/>
      <c r="AK46" s="284"/>
    </row>
    <row r="47" spans="1:37" ht="15" customHeight="1" x14ac:dyDescent="0.25">
      <c r="A47" s="211" t="s">
        <v>44</v>
      </c>
      <c r="B47" s="273" t="s">
        <v>5</v>
      </c>
      <c r="C47" s="294">
        <f t="shared" ref="C47:J47" si="30">60/C46*C14*C16</f>
        <v>81.081081081081081</v>
      </c>
      <c r="D47" s="295">
        <f t="shared" si="30"/>
        <v>78.94736842105263</v>
      </c>
      <c r="E47" s="295">
        <f t="shared" si="30"/>
        <v>80</v>
      </c>
      <c r="F47" s="295">
        <f t="shared" si="30"/>
        <v>81.081081081081081</v>
      </c>
      <c r="G47" s="295">
        <f t="shared" si="30"/>
        <v>164.38356164383563</v>
      </c>
      <c r="H47" s="295">
        <f t="shared" si="30"/>
        <v>244.89795918367344</v>
      </c>
      <c r="I47" s="295">
        <f t="shared" si="30"/>
        <v>367.34693877551024</v>
      </c>
      <c r="J47" s="295">
        <f t="shared" si="30"/>
        <v>367.34693877551018</v>
      </c>
      <c r="K47" s="296"/>
      <c r="L47" s="296"/>
      <c r="M47" s="296"/>
    </row>
    <row r="48" spans="1:37" ht="15" customHeight="1" x14ac:dyDescent="0.25">
      <c r="A48" s="297" t="s">
        <v>182</v>
      </c>
      <c r="B48" s="298" t="s">
        <v>168</v>
      </c>
      <c r="C48" s="299">
        <f t="shared" ref="C48" si="31">ROUNDUP(C7/C14,0)</f>
        <v>15</v>
      </c>
      <c r="D48" s="295">
        <f t="shared" ref="D48:J48" si="32">ROUNDUP(D7/D14,0)</f>
        <v>11</v>
      </c>
      <c r="E48" s="295">
        <f t="shared" si="32"/>
        <v>18</v>
      </c>
      <c r="F48" s="295">
        <f t="shared" si="32"/>
        <v>15</v>
      </c>
      <c r="G48" s="295">
        <f t="shared" si="32"/>
        <v>18</v>
      </c>
      <c r="H48" s="295">
        <f t="shared" si="32"/>
        <v>13</v>
      </c>
      <c r="I48" s="295">
        <f t="shared" si="32"/>
        <v>18</v>
      </c>
      <c r="J48" s="295">
        <f t="shared" si="32"/>
        <v>15</v>
      </c>
    </row>
    <row r="49" spans="1:37" ht="15" customHeight="1" x14ac:dyDescent="0.25">
      <c r="A49" s="199" t="s">
        <v>65</v>
      </c>
      <c r="B49" s="298" t="s">
        <v>81</v>
      </c>
      <c r="C49" s="294">
        <f t="shared" ref="C49:J49" si="33">C46/C16*C48</f>
        <v>310.79999999999995</v>
      </c>
      <c r="D49" s="295">
        <f t="shared" si="33"/>
        <v>167.2</v>
      </c>
      <c r="E49" s="295">
        <f t="shared" si="33"/>
        <v>324</v>
      </c>
      <c r="F49" s="295">
        <f t="shared" si="33"/>
        <v>310.79999999999995</v>
      </c>
      <c r="G49" s="295">
        <f t="shared" si="33"/>
        <v>236.52</v>
      </c>
      <c r="H49" s="295">
        <f t="shared" si="33"/>
        <v>152.88000000000002</v>
      </c>
      <c r="I49" s="295">
        <f t="shared" si="33"/>
        <v>176.39999999999998</v>
      </c>
      <c r="J49" s="295">
        <f t="shared" si="33"/>
        <v>176.4</v>
      </c>
    </row>
    <row r="50" spans="1:37" ht="15" customHeight="1" x14ac:dyDescent="0.25">
      <c r="A50" s="205" t="s">
        <v>65</v>
      </c>
      <c r="B50" s="288" t="s">
        <v>83</v>
      </c>
      <c r="C50" s="289">
        <f t="shared" ref="C50:D50" si="34">C49/60</f>
        <v>5.1799999999999988</v>
      </c>
      <c r="D50" s="290">
        <f t="shared" si="34"/>
        <v>2.7866666666666666</v>
      </c>
      <c r="E50" s="290">
        <f t="shared" ref="E50:J50" si="35">E49/60</f>
        <v>5.4</v>
      </c>
      <c r="F50" s="290">
        <f t="shared" si="35"/>
        <v>5.1799999999999988</v>
      </c>
      <c r="G50" s="290">
        <f t="shared" si="35"/>
        <v>3.9420000000000002</v>
      </c>
      <c r="H50" s="290">
        <f t="shared" si="35"/>
        <v>2.5480000000000005</v>
      </c>
      <c r="I50" s="290">
        <f t="shared" si="35"/>
        <v>2.9399999999999995</v>
      </c>
      <c r="J50" s="290">
        <f t="shared" si="35"/>
        <v>2.94</v>
      </c>
      <c r="K50" s="300"/>
    </row>
    <row r="51" spans="1:37" s="250" customFormat="1" ht="6.95" customHeight="1" x14ac:dyDescent="0.25">
      <c r="B51" s="251"/>
      <c r="C51" s="251"/>
    </row>
    <row r="52" spans="1:37" ht="18" customHeight="1" x14ac:dyDescent="0.25">
      <c r="A52" s="252" t="s">
        <v>71</v>
      </c>
      <c r="B52" s="301"/>
      <c r="C52" s="302"/>
      <c r="D52" s="302"/>
      <c r="E52" s="302"/>
      <c r="F52" s="302"/>
      <c r="G52" s="302"/>
      <c r="H52" s="302"/>
      <c r="I52" s="302"/>
      <c r="J52" s="303"/>
      <c r="K52" s="286"/>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row>
    <row r="53" spans="1:37" ht="15" customHeight="1" x14ac:dyDescent="0.25">
      <c r="A53" s="208" t="s">
        <v>132</v>
      </c>
      <c r="B53" s="272" t="s">
        <v>184</v>
      </c>
      <c r="C53" s="304">
        <v>0.35</v>
      </c>
      <c r="D53" s="305">
        <v>0.35</v>
      </c>
      <c r="E53" s="305">
        <v>0.35</v>
      </c>
      <c r="F53" s="305">
        <v>0.35</v>
      </c>
      <c r="G53" s="305">
        <v>0.35</v>
      </c>
      <c r="H53" s="305">
        <v>0.35</v>
      </c>
      <c r="I53" s="305">
        <v>0.35</v>
      </c>
      <c r="J53" s="305">
        <v>0.35</v>
      </c>
      <c r="K53" s="300"/>
    </row>
    <row r="54" spans="1:37" ht="15" customHeight="1" x14ac:dyDescent="0.25">
      <c r="A54" s="211" t="s">
        <v>133</v>
      </c>
      <c r="B54" s="273" t="s">
        <v>80</v>
      </c>
      <c r="C54" s="306">
        <f t="shared" ref="C54" si="36">1+1*C17</f>
        <v>2</v>
      </c>
      <c r="D54" s="204">
        <f t="shared" ref="D54:J54" si="37">1+1*D17</f>
        <v>2</v>
      </c>
      <c r="E54" s="204">
        <f t="shared" si="37"/>
        <v>2</v>
      </c>
      <c r="F54" s="204">
        <f t="shared" si="37"/>
        <v>2</v>
      </c>
      <c r="G54" s="204">
        <f t="shared" si="37"/>
        <v>3</v>
      </c>
      <c r="H54" s="204">
        <f t="shared" si="37"/>
        <v>3</v>
      </c>
      <c r="I54" s="204">
        <f t="shared" si="37"/>
        <v>4</v>
      </c>
      <c r="J54" s="204">
        <f t="shared" si="37"/>
        <v>4</v>
      </c>
      <c r="K54" s="300"/>
    </row>
    <row r="55" spans="1:37" ht="15" customHeight="1" x14ac:dyDescent="0.25">
      <c r="A55" s="211" t="s">
        <v>183</v>
      </c>
      <c r="B55" s="273" t="s">
        <v>184</v>
      </c>
      <c r="C55" s="287">
        <f t="shared" ref="C55" si="38">C56/C14/C16</f>
        <v>0.42142857142857137</v>
      </c>
      <c r="D55" s="275">
        <f t="shared" ref="D55:J55" si="39">D56/D14/D16</f>
        <v>0.45</v>
      </c>
      <c r="E55" s="275">
        <f t="shared" si="39"/>
        <v>0.43333333333333329</v>
      </c>
      <c r="F55" s="275">
        <f t="shared" si="39"/>
        <v>0.42142857142857137</v>
      </c>
      <c r="G55" s="275">
        <f t="shared" si="39"/>
        <v>0.43333333333333335</v>
      </c>
      <c r="H55" s="275">
        <f t="shared" si="39"/>
        <v>0.41249999999999992</v>
      </c>
      <c r="I55" s="275">
        <f t="shared" si="39"/>
        <v>0.41666666666666669</v>
      </c>
      <c r="J55" s="275">
        <f t="shared" si="39"/>
        <v>0.40555555555555556</v>
      </c>
      <c r="K55" s="300"/>
    </row>
    <row r="56" spans="1:37" ht="15" customHeight="1" x14ac:dyDescent="0.25">
      <c r="A56" s="211" t="s">
        <v>82</v>
      </c>
      <c r="B56" s="273" t="s">
        <v>80</v>
      </c>
      <c r="C56" s="274">
        <f t="shared" ref="C56" si="40">C53*C14*C16+C54</f>
        <v>11.799999999999999</v>
      </c>
      <c r="D56" s="275">
        <f t="shared" ref="D56:J56" si="41">D53*D14*D16+D54</f>
        <v>9</v>
      </c>
      <c r="E56" s="275">
        <f t="shared" si="41"/>
        <v>10.399999999999999</v>
      </c>
      <c r="F56" s="275">
        <f t="shared" si="41"/>
        <v>11.799999999999999</v>
      </c>
      <c r="G56" s="275">
        <f t="shared" si="41"/>
        <v>15.6</v>
      </c>
      <c r="H56" s="275">
        <f t="shared" si="41"/>
        <v>19.799999999999997</v>
      </c>
      <c r="I56" s="275">
        <f t="shared" si="41"/>
        <v>25</v>
      </c>
      <c r="J56" s="275">
        <f t="shared" si="41"/>
        <v>29.2</v>
      </c>
      <c r="K56" s="300"/>
    </row>
    <row r="57" spans="1:37" ht="15" customHeight="1" x14ac:dyDescent="0.25">
      <c r="A57" s="214" t="s">
        <v>66</v>
      </c>
      <c r="B57" s="288" t="s">
        <v>81</v>
      </c>
      <c r="C57" s="307">
        <f t="shared" ref="C57:J57" si="42">C56/C17</f>
        <v>11.799999999999999</v>
      </c>
      <c r="D57" s="290">
        <f t="shared" si="42"/>
        <v>9</v>
      </c>
      <c r="E57" s="290">
        <f t="shared" si="42"/>
        <v>10.399999999999999</v>
      </c>
      <c r="F57" s="290">
        <f t="shared" si="42"/>
        <v>11.799999999999999</v>
      </c>
      <c r="G57" s="290">
        <f t="shared" si="42"/>
        <v>7.8</v>
      </c>
      <c r="H57" s="290">
        <f t="shared" si="42"/>
        <v>9.8999999999999986</v>
      </c>
      <c r="I57" s="290">
        <f t="shared" si="42"/>
        <v>8.3333333333333339</v>
      </c>
      <c r="J57" s="290">
        <f t="shared" si="42"/>
        <v>9.7333333333333325</v>
      </c>
      <c r="K57" s="300"/>
    </row>
    <row r="58" spans="1:37" s="250" customFormat="1" ht="6.95" customHeight="1" x14ac:dyDescent="0.25"/>
    <row r="59" spans="1:37" ht="18" customHeight="1" x14ac:dyDescent="0.25">
      <c r="A59" s="252" t="s">
        <v>73</v>
      </c>
      <c r="B59" s="301"/>
      <c r="C59" s="302">
        <f t="shared" ref="C59" si="43">C56/C14/C16</f>
        <v>0.42142857142857137</v>
      </c>
      <c r="D59" s="302">
        <f t="shared" ref="D59:J59" si="44">D56/D14/D16</f>
        <v>0.45</v>
      </c>
      <c r="E59" s="302">
        <f t="shared" si="44"/>
        <v>0.43333333333333329</v>
      </c>
      <c r="F59" s="302">
        <f t="shared" si="44"/>
        <v>0.42142857142857137</v>
      </c>
      <c r="G59" s="302">
        <f t="shared" si="44"/>
        <v>0.43333333333333335</v>
      </c>
      <c r="H59" s="302">
        <f t="shared" si="44"/>
        <v>0.41249999999999992</v>
      </c>
      <c r="I59" s="302">
        <f t="shared" si="44"/>
        <v>0.41666666666666669</v>
      </c>
      <c r="J59" s="303">
        <f t="shared" si="44"/>
        <v>0.40555555555555556</v>
      </c>
      <c r="K59" s="300"/>
    </row>
    <row r="60" spans="1:37" ht="15" customHeight="1" x14ac:dyDescent="0.25">
      <c r="A60" s="208" t="s">
        <v>134</v>
      </c>
      <c r="B60" s="272" t="s">
        <v>184</v>
      </c>
      <c r="C60" s="308">
        <v>2</v>
      </c>
      <c r="D60" s="305">
        <v>2</v>
      </c>
      <c r="E60" s="305">
        <v>2</v>
      </c>
      <c r="F60" s="305">
        <v>2</v>
      </c>
      <c r="G60" s="305">
        <v>2</v>
      </c>
      <c r="H60" s="305">
        <v>2</v>
      </c>
      <c r="I60" s="305">
        <v>2</v>
      </c>
      <c r="J60" s="305">
        <v>2</v>
      </c>
      <c r="K60" s="300"/>
    </row>
    <row r="61" spans="1:37" ht="15" customHeight="1" x14ac:dyDescent="0.25">
      <c r="A61" s="211" t="s">
        <v>135</v>
      </c>
      <c r="B61" s="273" t="s">
        <v>80</v>
      </c>
      <c r="C61" s="306">
        <f t="shared" ref="C61" si="45">15+C17*1</f>
        <v>16</v>
      </c>
      <c r="D61" s="204">
        <f t="shared" ref="D61:J61" si="46">15+D17*1</f>
        <v>16</v>
      </c>
      <c r="E61" s="204">
        <f t="shared" si="46"/>
        <v>16</v>
      </c>
      <c r="F61" s="204">
        <f t="shared" si="46"/>
        <v>16</v>
      </c>
      <c r="G61" s="204">
        <f t="shared" si="46"/>
        <v>17</v>
      </c>
      <c r="H61" s="204">
        <f t="shared" si="46"/>
        <v>17</v>
      </c>
      <c r="I61" s="204">
        <f t="shared" si="46"/>
        <v>18</v>
      </c>
      <c r="J61" s="204">
        <f t="shared" si="46"/>
        <v>18</v>
      </c>
      <c r="K61" s="300"/>
    </row>
    <row r="62" spans="1:37" ht="15" customHeight="1" x14ac:dyDescent="0.25">
      <c r="A62" s="211" t="s">
        <v>185</v>
      </c>
      <c r="B62" s="273" t="s">
        <v>184</v>
      </c>
      <c r="C62" s="287">
        <f t="shared" ref="C62" si="47">C63/C14/C16</f>
        <v>2.5714285714285716</v>
      </c>
      <c r="D62" s="275">
        <f t="shared" ref="D62:J62" si="48">D63/D14/D16</f>
        <v>2.8</v>
      </c>
      <c r="E62" s="275">
        <f t="shared" si="48"/>
        <v>2.6666666666666665</v>
      </c>
      <c r="F62" s="275">
        <f t="shared" si="48"/>
        <v>2.5714285714285716</v>
      </c>
      <c r="G62" s="275">
        <f t="shared" si="48"/>
        <v>2.4722222222222223</v>
      </c>
      <c r="H62" s="275">
        <f t="shared" si="48"/>
        <v>2.3541666666666665</v>
      </c>
      <c r="I62" s="275">
        <f t="shared" si="48"/>
        <v>2.2999999999999998</v>
      </c>
      <c r="J62" s="275">
        <f t="shared" si="48"/>
        <v>2.25</v>
      </c>
      <c r="K62" s="300"/>
    </row>
    <row r="63" spans="1:37" ht="15" customHeight="1" x14ac:dyDescent="0.25">
      <c r="A63" s="211" t="s">
        <v>185</v>
      </c>
      <c r="B63" s="273" t="s">
        <v>80</v>
      </c>
      <c r="C63" s="274">
        <f t="shared" ref="C63" si="49">C60*C14*C16+C61</f>
        <v>72</v>
      </c>
      <c r="D63" s="275">
        <f t="shared" ref="D63:J63" si="50">D60*D14*D16+D61</f>
        <v>56</v>
      </c>
      <c r="E63" s="275">
        <f t="shared" si="50"/>
        <v>64</v>
      </c>
      <c r="F63" s="275">
        <f t="shared" si="50"/>
        <v>72</v>
      </c>
      <c r="G63" s="275">
        <f t="shared" si="50"/>
        <v>89</v>
      </c>
      <c r="H63" s="275">
        <f t="shared" si="50"/>
        <v>113</v>
      </c>
      <c r="I63" s="275">
        <f t="shared" si="50"/>
        <v>138</v>
      </c>
      <c r="J63" s="275">
        <f t="shared" si="50"/>
        <v>162</v>
      </c>
    </row>
    <row r="64" spans="1:37" ht="15" customHeight="1" x14ac:dyDescent="0.25">
      <c r="A64" s="214" t="s">
        <v>67</v>
      </c>
      <c r="B64" s="288" t="s">
        <v>81</v>
      </c>
      <c r="C64" s="307">
        <f t="shared" ref="C64:J64" si="51">C63/C17</f>
        <v>72</v>
      </c>
      <c r="D64" s="290">
        <f t="shared" si="51"/>
        <v>56</v>
      </c>
      <c r="E64" s="290">
        <f t="shared" si="51"/>
        <v>64</v>
      </c>
      <c r="F64" s="290">
        <f t="shared" si="51"/>
        <v>72</v>
      </c>
      <c r="G64" s="290">
        <f t="shared" si="51"/>
        <v>44.5</v>
      </c>
      <c r="H64" s="290">
        <f t="shared" si="51"/>
        <v>56.5</v>
      </c>
      <c r="I64" s="290">
        <f t="shared" si="51"/>
        <v>46</v>
      </c>
      <c r="J64" s="290">
        <f t="shared" si="51"/>
        <v>54</v>
      </c>
    </row>
    <row r="65" spans="1:10" s="250" customFormat="1" ht="6.95" customHeight="1" x14ac:dyDescent="0.25"/>
    <row r="66" spans="1:10" s="250" customFormat="1" ht="18" customHeight="1" x14ac:dyDescent="0.25">
      <c r="A66" s="252" t="s">
        <v>74</v>
      </c>
      <c r="B66" s="301"/>
      <c r="C66" s="302"/>
      <c r="D66" s="302"/>
      <c r="E66" s="302"/>
      <c r="F66" s="302"/>
      <c r="G66" s="302"/>
      <c r="H66" s="302"/>
      <c r="I66" s="302"/>
      <c r="J66" s="303"/>
    </row>
    <row r="67" spans="1:10" ht="15" customHeight="1" x14ac:dyDescent="0.25">
      <c r="A67" s="208" t="s">
        <v>70</v>
      </c>
      <c r="B67" s="272" t="s">
        <v>69</v>
      </c>
      <c r="C67" s="309">
        <f t="shared" ref="C67" si="52">0.3053481001*2.71828182845905^(-0.00019799296*C7*2)</f>
        <v>0.25913273460708508</v>
      </c>
      <c r="D67" s="264">
        <f t="shared" ref="D67:J67" si="53">0.3053481001*2.71828182845905^(-0.00019799296*D7*2)</f>
        <v>0.2812928868385956</v>
      </c>
      <c r="E67" s="264">
        <f t="shared" si="53"/>
        <v>0.25913273460708508</v>
      </c>
      <c r="F67" s="264">
        <f t="shared" si="53"/>
        <v>0.25913273460708508</v>
      </c>
      <c r="G67" s="264">
        <f t="shared" si="53"/>
        <v>0.23871835118061902</v>
      </c>
      <c r="H67" s="264">
        <f t="shared" si="53"/>
        <v>0.23871835118061902</v>
      </c>
      <c r="I67" s="264">
        <f t="shared" si="53"/>
        <v>0.20258760123960007</v>
      </c>
      <c r="J67" s="264">
        <f t="shared" si="53"/>
        <v>0.20258760123960007</v>
      </c>
    </row>
    <row r="68" spans="1:10" ht="15" customHeight="1" x14ac:dyDescent="0.25">
      <c r="A68" s="214" t="s">
        <v>70</v>
      </c>
      <c r="B68" s="288" t="s">
        <v>80</v>
      </c>
      <c r="C68" s="289">
        <f t="shared" ref="C68:J68" si="54">C67*C7</f>
        <v>107.39471771813633</v>
      </c>
      <c r="D68" s="290">
        <f t="shared" si="54"/>
        <v>58.289374794651422</v>
      </c>
      <c r="E68" s="290">
        <f t="shared" si="54"/>
        <v>107.39471771813633</v>
      </c>
      <c r="F68" s="290">
        <f t="shared" si="54"/>
        <v>107.39471771813633</v>
      </c>
      <c r="G68" s="290">
        <f t="shared" si="54"/>
        <v>148.40130085101507</v>
      </c>
      <c r="H68" s="290">
        <f t="shared" si="54"/>
        <v>148.40130085101507</v>
      </c>
      <c r="I68" s="290">
        <f t="shared" si="54"/>
        <v>209.90051952824902</v>
      </c>
      <c r="J68" s="290">
        <f t="shared" si="54"/>
        <v>209.90051952824902</v>
      </c>
    </row>
    <row r="69" spans="1:10" s="250" customFormat="1" ht="6.95" customHeight="1" x14ac:dyDescent="0.25">
      <c r="B69" s="251"/>
      <c r="C69" s="251"/>
    </row>
    <row r="70" spans="1:10" ht="18" customHeight="1" x14ac:dyDescent="0.25">
      <c r="A70" s="257" t="s">
        <v>186</v>
      </c>
      <c r="B70" s="258"/>
      <c r="C70" s="259"/>
      <c r="D70" s="259"/>
      <c r="E70" s="259"/>
      <c r="F70" s="259"/>
      <c r="G70" s="259"/>
      <c r="H70" s="259"/>
      <c r="I70" s="259"/>
      <c r="J70" s="260"/>
    </row>
    <row r="71" spans="1:10" ht="15" customHeight="1" x14ac:dyDescent="0.25">
      <c r="A71" s="208" t="s">
        <v>68</v>
      </c>
      <c r="B71" s="272" t="s">
        <v>57</v>
      </c>
      <c r="C71" s="310">
        <f t="shared" ref="C71" si="55">C49+C57+C64</f>
        <v>394.59999999999997</v>
      </c>
      <c r="D71" s="198">
        <f t="shared" ref="D71:J71" si="56">D49+D57+D64</f>
        <v>232.2</v>
      </c>
      <c r="E71" s="198">
        <f t="shared" si="56"/>
        <v>398.4</v>
      </c>
      <c r="F71" s="198">
        <f t="shared" si="56"/>
        <v>394.59999999999997</v>
      </c>
      <c r="G71" s="198">
        <f t="shared" si="56"/>
        <v>288.82000000000005</v>
      </c>
      <c r="H71" s="198">
        <f t="shared" si="56"/>
        <v>219.28000000000003</v>
      </c>
      <c r="I71" s="198">
        <f t="shared" si="56"/>
        <v>230.73333333333332</v>
      </c>
      <c r="J71" s="198">
        <f t="shared" si="56"/>
        <v>240.13333333333333</v>
      </c>
    </row>
    <row r="72" spans="1:10" ht="15" customHeight="1" x14ac:dyDescent="0.25">
      <c r="A72" s="214" t="s">
        <v>68</v>
      </c>
      <c r="B72" s="288" t="s">
        <v>42</v>
      </c>
      <c r="C72" s="307">
        <f t="shared" ref="C72:D72" si="57">C71/60</f>
        <v>6.5766666666666662</v>
      </c>
      <c r="D72" s="290">
        <f t="shared" si="57"/>
        <v>3.8699999999999997</v>
      </c>
      <c r="E72" s="290">
        <f t="shared" ref="E72:J72" si="58">E71/60</f>
        <v>6.64</v>
      </c>
      <c r="F72" s="290">
        <f t="shared" si="58"/>
        <v>6.5766666666666662</v>
      </c>
      <c r="G72" s="290">
        <f t="shared" si="58"/>
        <v>4.8136666666666672</v>
      </c>
      <c r="H72" s="290">
        <f t="shared" si="58"/>
        <v>3.654666666666667</v>
      </c>
      <c r="I72" s="290">
        <f t="shared" si="58"/>
        <v>3.8455555555555554</v>
      </c>
      <c r="J72" s="290">
        <f t="shared" si="58"/>
        <v>4.0022222222222217</v>
      </c>
    </row>
    <row r="73" spans="1:10" s="250" customFormat="1" ht="6.95" customHeight="1" x14ac:dyDescent="0.25">
      <c r="B73" s="251"/>
      <c r="C73" s="251"/>
    </row>
    <row r="74" spans="1:10" ht="18" customHeight="1" x14ac:dyDescent="0.25">
      <c r="A74" s="252" t="s">
        <v>187</v>
      </c>
      <c r="B74" s="301"/>
      <c r="C74" s="302"/>
      <c r="D74" s="302"/>
      <c r="E74" s="302"/>
      <c r="F74" s="302"/>
      <c r="G74" s="302"/>
      <c r="H74" s="302"/>
      <c r="I74" s="302"/>
      <c r="J74" s="303"/>
    </row>
    <row r="75" spans="1:10" ht="15" customHeight="1" x14ac:dyDescent="0.25">
      <c r="A75" s="311" t="s">
        <v>71</v>
      </c>
      <c r="B75" s="312" t="s">
        <v>188</v>
      </c>
      <c r="C75" s="313">
        <f>C56/60*'Melkkar und Herde'!C11</f>
        <v>0.39333333333333331</v>
      </c>
      <c r="D75" s="314">
        <f>D56/60*'Melkkar und Herde'!D11</f>
        <v>0.3</v>
      </c>
      <c r="E75" s="314">
        <f>E56/60*'Melkkar und Herde'!E11</f>
        <v>0.34666666666666662</v>
      </c>
      <c r="F75" s="314">
        <f>F56/60*'Melkkar und Herde'!F11</f>
        <v>0.39333333333333331</v>
      </c>
      <c r="G75" s="314">
        <f>G56/60*'Melkkar und Herde'!G11</f>
        <v>0.52</v>
      </c>
      <c r="H75" s="314">
        <f>H56/60*'Melkkar und Herde'!H11</f>
        <v>0.65999999999999992</v>
      </c>
      <c r="I75" s="314">
        <f>I56/60*'Melkkar und Herde'!I11</f>
        <v>0.83333333333333337</v>
      </c>
      <c r="J75" s="314">
        <f>J56/60*'Melkkar und Herde'!J11</f>
        <v>0.97333333333333327</v>
      </c>
    </row>
    <row r="76" spans="1:10" ht="15" customHeight="1" x14ac:dyDescent="0.25">
      <c r="A76" s="315" t="s">
        <v>72</v>
      </c>
      <c r="B76" s="316" t="s">
        <v>188</v>
      </c>
      <c r="C76" s="317">
        <f>C50*C17*'Melkkar und Herde'!C11</f>
        <v>10.359999999999998</v>
      </c>
      <c r="D76" s="318">
        <f>D50*D17*'Melkkar und Herde'!D11</f>
        <v>5.5733333333333333</v>
      </c>
      <c r="E76" s="318">
        <f>E50*E17*'Melkkar und Herde'!E11</f>
        <v>10.8</v>
      </c>
      <c r="F76" s="318">
        <f>F50*F17*'Melkkar und Herde'!F11</f>
        <v>10.359999999999998</v>
      </c>
      <c r="G76" s="318">
        <f>G50*G17*'Melkkar und Herde'!G11</f>
        <v>15.768000000000001</v>
      </c>
      <c r="H76" s="318">
        <f>H50*H17*'Melkkar und Herde'!H11</f>
        <v>10.192000000000002</v>
      </c>
      <c r="I76" s="318">
        <f>I50*I17*'Melkkar und Herde'!I11</f>
        <v>17.639999999999997</v>
      </c>
      <c r="J76" s="318">
        <f>J50*J17*'Melkkar und Herde'!J11</f>
        <v>17.64</v>
      </c>
    </row>
    <row r="77" spans="1:10" ht="15" customHeight="1" x14ac:dyDescent="0.25">
      <c r="A77" s="315" t="s">
        <v>73</v>
      </c>
      <c r="B77" s="316" t="s">
        <v>188</v>
      </c>
      <c r="C77" s="317">
        <f>C63*'Melkkar und Herde'!C11/60</f>
        <v>2.4</v>
      </c>
      <c r="D77" s="318">
        <f>D63*'Melkkar und Herde'!D11/60</f>
        <v>1.8666666666666667</v>
      </c>
      <c r="E77" s="318">
        <f>E63*'Melkkar und Herde'!E11/60</f>
        <v>2.1333333333333333</v>
      </c>
      <c r="F77" s="318">
        <f>F63*'Melkkar und Herde'!F11/60</f>
        <v>2.4</v>
      </c>
      <c r="G77" s="318">
        <f>G63*'Melkkar und Herde'!G11/60</f>
        <v>2.9666666666666668</v>
      </c>
      <c r="H77" s="318">
        <f>H63*'Melkkar und Herde'!H11/60</f>
        <v>3.7666666666666666</v>
      </c>
      <c r="I77" s="318">
        <f>I63*'Melkkar und Herde'!I11/60</f>
        <v>4.5999999999999996</v>
      </c>
      <c r="J77" s="318">
        <f>J63*'Melkkar und Herde'!J11/60</f>
        <v>5.4</v>
      </c>
    </row>
    <row r="78" spans="1:10" ht="15" customHeight="1" x14ac:dyDescent="0.25">
      <c r="A78" s="319" t="s">
        <v>74</v>
      </c>
      <c r="B78" s="320" t="s">
        <v>188</v>
      </c>
      <c r="C78" s="321">
        <f>C68*'Melkkar und Herde'!C11/60</f>
        <v>3.579823923937878</v>
      </c>
      <c r="D78" s="322">
        <f>D68*'Melkkar und Herde'!D11/60</f>
        <v>1.9429791598217141</v>
      </c>
      <c r="E78" s="322">
        <f>E68*'Melkkar und Herde'!E11/60</f>
        <v>3.579823923937878</v>
      </c>
      <c r="F78" s="322">
        <f>F68*'Melkkar und Herde'!F11/60</f>
        <v>3.579823923937878</v>
      </c>
      <c r="G78" s="322">
        <f>G68*'Melkkar und Herde'!G11/60</f>
        <v>4.9467100283671686</v>
      </c>
      <c r="H78" s="322">
        <f>H68*'Melkkar und Herde'!H11/60</f>
        <v>4.9467100283671686</v>
      </c>
      <c r="I78" s="322">
        <f>I68*'Melkkar und Herde'!I11/60</f>
        <v>6.9966839842749673</v>
      </c>
      <c r="J78" s="322">
        <f>J68*'Melkkar und Herde'!J11/60</f>
        <v>6.9966839842749673</v>
      </c>
    </row>
    <row r="79" spans="1:10" s="327" customFormat="1" ht="18" customHeight="1" x14ac:dyDescent="0.25">
      <c r="A79" s="323" t="s">
        <v>75</v>
      </c>
      <c r="B79" s="324" t="s">
        <v>188</v>
      </c>
      <c r="C79" s="325">
        <f t="shared" ref="C79:D79" si="59">SUM(C75:C78)</f>
        <v>16.733157257271209</v>
      </c>
      <c r="D79" s="326">
        <f t="shared" si="59"/>
        <v>9.6829791598217145</v>
      </c>
      <c r="E79" s="326">
        <f t="shared" ref="E79:J79" si="60">SUM(E75:E78)</f>
        <v>16.859823923937878</v>
      </c>
      <c r="F79" s="326">
        <f t="shared" si="60"/>
        <v>16.733157257271209</v>
      </c>
      <c r="G79" s="326">
        <f t="shared" si="60"/>
        <v>24.201376695033833</v>
      </c>
      <c r="H79" s="326">
        <f t="shared" si="60"/>
        <v>19.565376695033837</v>
      </c>
      <c r="I79" s="326">
        <f t="shared" si="60"/>
        <v>30.070017317608297</v>
      </c>
      <c r="J79" s="326">
        <f t="shared" si="60"/>
        <v>31.010017317608302</v>
      </c>
    </row>
    <row r="80" spans="1:10" s="250" customFormat="1" ht="6.95" customHeight="1" x14ac:dyDescent="0.25"/>
    <row r="81" spans="1:13" ht="18" customHeight="1" x14ac:dyDescent="0.25">
      <c r="A81" s="252" t="s">
        <v>189</v>
      </c>
      <c r="B81" s="301"/>
      <c r="C81" s="302"/>
      <c r="D81" s="302"/>
      <c r="E81" s="302"/>
      <c r="F81" s="302"/>
      <c r="G81" s="302"/>
      <c r="H81" s="302"/>
      <c r="I81" s="302"/>
      <c r="J81" s="303"/>
    </row>
    <row r="82" spans="1:13" ht="15" customHeight="1" x14ac:dyDescent="0.25">
      <c r="A82" s="311" t="s">
        <v>71</v>
      </c>
      <c r="B82" s="312" t="s">
        <v>69</v>
      </c>
      <c r="C82" s="313">
        <f>C75*60/C7/'Melkkar und Herde'!C11</f>
        <v>2.8472222222222218E-2</v>
      </c>
      <c r="D82" s="314">
        <f>D75*60/D7/'Melkkar und Herde'!D11</f>
        <v>4.3432203389830511E-2</v>
      </c>
      <c r="E82" s="314">
        <f>E75*60/E7/'Melkkar und Herde'!E11</f>
        <v>2.5094161958568735E-2</v>
      </c>
      <c r="F82" s="314">
        <f>F75*60/F7/'Melkkar und Herde'!F11</f>
        <v>2.8472222222222218E-2</v>
      </c>
      <c r="G82" s="314">
        <f>G75*60/G7/'Melkkar und Herde'!G11</f>
        <v>2.5094161958568742E-2</v>
      </c>
      <c r="H82" s="314">
        <f>H75*60/H7/'Melkkar und Herde'!H11</f>
        <v>3.1850282485875701E-2</v>
      </c>
      <c r="I82" s="314">
        <f>I75*60/I7/'Melkkar und Herde'!I11</f>
        <v>2.4129001883239173E-2</v>
      </c>
      <c r="J82" s="314">
        <f>J75*60/J7/'Melkkar und Herde'!J11</f>
        <v>2.8182674199623354E-2</v>
      </c>
    </row>
    <row r="83" spans="1:13" ht="15" customHeight="1" x14ac:dyDescent="0.25">
      <c r="A83" s="315" t="s">
        <v>72</v>
      </c>
      <c r="B83" s="316" t="s">
        <v>69</v>
      </c>
      <c r="C83" s="317">
        <f>C76*60/C7/'Melkkar und Herde'!C11</f>
        <v>0.74992937853107333</v>
      </c>
      <c r="D83" s="318">
        <f>D76*60/D7/'Melkkar und Herde'!D11</f>
        <v>0.8068738229755178</v>
      </c>
      <c r="E83" s="318">
        <f>E76*60/E7/'Melkkar und Herde'!E11</f>
        <v>0.78177966101694918</v>
      </c>
      <c r="F83" s="318">
        <f>F76*60/F7/'Melkkar und Herde'!F11</f>
        <v>0.74992937853107333</v>
      </c>
      <c r="G83" s="318">
        <f>G76*60/G7/'Melkkar und Herde'!G11</f>
        <v>0.76093220338983059</v>
      </c>
      <c r="H83" s="318">
        <f>H76*60/H7/'Melkkar und Herde'!H11</f>
        <v>0.49184557438794735</v>
      </c>
      <c r="I83" s="318">
        <f>I76*60/I7/'Melkkar und Herde'!I11</f>
        <v>0.5107627118644068</v>
      </c>
      <c r="J83" s="318">
        <f>J76*60/J7/'Melkkar und Herde'!J11</f>
        <v>0.51076271186440692</v>
      </c>
    </row>
    <row r="84" spans="1:13" ht="15" customHeight="1" x14ac:dyDescent="0.25">
      <c r="A84" s="315" t="s">
        <v>73</v>
      </c>
      <c r="B84" s="316" t="s">
        <v>69</v>
      </c>
      <c r="C84" s="317">
        <f>C77*60/C7/'Melkkar und Herde'!C11</f>
        <v>0.17372881355932204</v>
      </c>
      <c r="D84" s="318">
        <f>D77*60/D7/'Melkkar und Herde'!D11</f>
        <v>0.27024482109227871</v>
      </c>
      <c r="E84" s="318">
        <f>E77*60/E7/'Melkkar und Herde'!E11</f>
        <v>0.1544256120527307</v>
      </c>
      <c r="F84" s="318">
        <f>F77*60/F7/'Melkkar und Herde'!F11</f>
        <v>0.17372881355932204</v>
      </c>
      <c r="G84" s="318">
        <f>G77*60/G7/'Melkkar und Herde'!G11</f>
        <v>0.14316541117388576</v>
      </c>
      <c r="H84" s="318">
        <f>H77*60/H7/'Melkkar und Herde'!H11</f>
        <v>0.18177181418706842</v>
      </c>
      <c r="I84" s="318">
        <f>I77*60/I7/'Melkkar und Herde'!I11</f>
        <v>0.13319209039548024</v>
      </c>
      <c r="J84" s="318">
        <f>J77*60/J7/'Melkkar und Herde'!J11</f>
        <v>0.15635593220338984</v>
      </c>
    </row>
    <row r="85" spans="1:13" ht="15" customHeight="1" x14ac:dyDescent="0.25">
      <c r="A85" s="319" t="s">
        <v>74</v>
      </c>
      <c r="B85" s="320" t="s">
        <v>69</v>
      </c>
      <c r="C85" s="321">
        <f>C78*60/C7/'Melkkar und Herde'!C11</f>
        <v>0.25913273460708508</v>
      </c>
      <c r="D85" s="322">
        <f>D78*60/D7/'Melkkar und Herde'!D11</f>
        <v>0.2812928868385956</v>
      </c>
      <c r="E85" s="322">
        <f>E78*60/E7/'Melkkar und Herde'!E11</f>
        <v>0.25913273460708508</v>
      </c>
      <c r="F85" s="322">
        <f>F78*60/F7/'Melkkar und Herde'!F11</f>
        <v>0.25913273460708508</v>
      </c>
      <c r="G85" s="322">
        <f>G78*60/G7/'Melkkar und Herde'!G11</f>
        <v>0.23871835118061904</v>
      </c>
      <c r="H85" s="322">
        <f>H78*60/H7/'Melkkar und Herde'!H11</f>
        <v>0.23871835118061904</v>
      </c>
      <c r="I85" s="322">
        <f>I78*60/I7/'Melkkar und Herde'!I11</f>
        <v>0.20258760123960007</v>
      </c>
      <c r="J85" s="322">
        <f>J78*60/J7/'Melkkar und Herde'!J11</f>
        <v>0.20258760123960007</v>
      </c>
    </row>
    <row r="86" spans="1:13" s="331" customFormat="1" ht="18" customHeight="1" x14ac:dyDescent="0.25">
      <c r="A86" s="328" t="s">
        <v>75</v>
      </c>
      <c r="B86" s="329" t="s">
        <v>69</v>
      </c>
      <c r="C86" s="330">
        <f t="shared" ref="C86:D86" si="61">SUM(C82:C85)</f>
        <v>1.2112631489197025</v>
      </c>
      <c r="D86" s="329">
        <f t="shared" si="61"/>
        <v>1.4018437342962227</v>
      </c>
      <c r="E86" s="329">
        <f t="shared" ref="E86:J86" si="62">SUM(E82:E85)</f>
        <v>1.2204321696353337</v>
      </c>
      <c r="F86" s="329">
        <f t="shared" si="62"/>
        <v>1.2112631489197025</v>
      </c>
      <c r="G86" s="329">
        <f t="shared" si="62"/>
        <v>1.167910127702904</v>
      </c>
      <c r="H86" s="329">
        <f t="shared" si="62"/>
        <v>0.94418602224151049</v>
      </c>
      <c r="I86" s="329">
        <f t="shared" si="62"/>
        <v>0.87067140538272636</v>
      </c>
      <c r="J86" s="329">
        <f t="shared" si="62"/>
        <v>0.89788891950702021</v>
      </c>
    </row>
    <row r="87" spans="1:13" s="250" customFormat="1" ht="6.95" customHeight="1" x14ac:dyDescent="0.25"/>
    <row r="88" spans="1:13" ht="18" customHeight="1" x14ac:dyDescent="0.25">
      <c r="A88" s="252" t="s">
        <v>190</v>
      </c>
      <c r="B88" s="301"/>
      <c r="C88" s="302"/>
      <c r="D88" s="302"/>
      <c r="E88" s="302"/>
      <c r="F88" s="302"/>
      <c r="G88" s="302"/>
      <c r="H88" s="302"/>
      <c r="I88" s="302"/>
      <c r="J88" s="303"/>
    </row>
    <row r="89" spans="1:13" ht="15" customHeight="1" x14ac:dyDescent="0.25">
      <c r="A89" s="311" t="s">
        <v>71</v>
      </c>
      <c r="B89" s="312" t="s">
        <v>191</v>
      </c>
      <c r="C89" s="313">
        <f t="shared" ref="C89" si="63">C75*365/C4</f>
        <v>0.29909722222222224</v>
      </c>
      <c r="D89" s="314">
        <f t="shared" ref="D89:J89" si="64">D75*365/D4</f>
        <v>0.45624999999999999</v>
      </c>
      <c r="E89" s="314">
        <f t="shared" si="64"/>
        <v>0.26361111111111107</v>
      </c>
      <c r="F89" s="314">
        <f t="shared" si="64"/>
        <v>0.29909722222222224</v>
      </c>
      <c r="G89" s="314">
        <f t="shared" si="64"/>
        <v>0.26361111111111113</v>
      </c>
      <c r="H89" s="314">
        <f t="shared" si="64"/>
        <v>0.33458333333333329</v>
      </c>
      <c r="I89" s="314">
        <f t="shared" si="64"/>
        <v>0.25347222222222227</v>
      </c>
      <c r="J89" s="314">
        <f t="shared" si="64"/>
        <v>0.29605555555555552</v>
      </c>
    </row>
    <row r="90" spans="1:13" ht="15" customHeight="1" x14ac:dyDescent="0.25">
      <c r="A90" s="315" t="s">
        <v>72</v>
      </c>
      <c r="B90" s="316" t="s">
        <v>191</v>
      </c>
      <c r="C90" s="317">
        <f t="shared" ref="C90" si="65">C76*365/C4</f>
        <v>7.8779166666666649</v>
      </c>
      <c r="D90" s="318">
        <f t="shared" ref="D90:J90" si="66">D76*365/D4</f>
        <v>8.4761111111111109</v>
      </c>
      <c r="E90" s="318">
        <f t="shared" si="66"/>
        <v>8.2125000000000004</v>
      </c>
      <c r="F90" s="318">
        <f t="shared" si="66"/>
        <v>7.8779166666666649</v>
      </c>
      <c r="G90" s="318">
        <f t="shared" si="66"/>
        <v>7.9935000000000009</v>
      </c>
      <c r="H90" s="318">
        <f t="shared" si="66"/>
        <v>5.1667777777777788</v>
      </c>
      <c r="I90" s="318">
        <f t="shared" si="66"/>
        <v>5.365499999999999</v>
      </c>
      <c r="J90" s="318">
        <f t="shared" si="66"/>
        <v>5.3654999999999999</v>
      </c>
    </row>
    <row r="91" spans="1:13" ht="15" customHeight="1" x14ac:dyDescent="0.25">
      <c r="A91" s="315" t="s">
        <v>73</v>
      </c>
      <c r="B91" s="316" t="s">
        <v>191</v>
      </c>
      <c r="C91" s="317">
        <f t="shared" ref="C91" si="67">C77*365/C4</f>
        <v>1.825</v>
      </c>
      <c r="D91" s="318">
        <f t="shared" ref="D91:J91" si="68">D77*365/D4</f>
        <v>2.838888888888889</v>
      </c>
      <c r="E91" s="318">
        <f t="shared" si="68"/>
        <v>1.6222222222222222</v>
      </c>
      <c r="F91" s="318">
        <f t="shared" si="68"/>
        <v>1.825</v>
      </c>
      <c r="G91" s="318">
        <f t="shared" si="68"/>
        <v>1.5039351851851854</v>
      </c>
      <c r="H91" s="318">
        <f t="shared" si="68"/>
        <v>1.9094907407407407</v>
      </c>
      <c r="I91" s="318">
        <f t="shared" si="68"/>
        <v>1.3991666666666664</v>
      </c>
      <c r="J91" s="318">
        <f t="shared" si="68"/>
        <v>1.6425000000000003</v>
      </c>
    </row>
    <row r="92" spans="1:13" ht="15" customHeight="1" x14ac:dyDescent="0.25">
      <c r="A92" s="319" t="s">
        <v>74</v>
      </c>
      <c r="B92" s="320" t="s">
        <v>191</v>
      </c>
      <c r="C92" s="321">
        <f t="shared" ref="C92" si="69">C78*365/C4</f>
        <v>2.7221577754944284</v>
      </c>
      <c r="D92" s="322">
        <f t="shared" ref="D92:J92" si="70">D78*365/D4</f>
        <v>2.9549474722288571</v>
      </c>
      <c r="E92" s="322">
        <f t="shared" si="70"/>
        <v>2.7221577754944284</v>
      </c>
      <c r="F92" s="322">
        <f t="shared" si="70"/>
        <v>2.7221577754944284</v>
      </c>
      <c r="G92" s="322">
        <f t="shared" si="70"/>
        <v>2.5077071671583564</v>
      </c>
      <c r="H92" s="322">
        <f t="shared" si="70"/>
        <v>2.5077071671583564</v>
      </c>
      <c r="I92" s="322">
        <f t="shared" si="70"/>
        <v>2.1281580452169693</v>
      </c>
      <c r="J92" s="322">
        <f t="shared" si="70"/>
        <v>2.1281580452169693</v>
      </c>
    </row>
    <row r="93" spans="1:13" s="331" customFormat="1" ht="18" customHeight="1" x14ac:dyDescent="0.25">
      <c r="A93" s="328" t="s">
        <v>75</v>
      </c>
      <c r="B93" s="332" t="s">
        <v>191</v>
      </c>
      <c r="C93" s="333">
        <f t="shared" ref="C93:D93" si="71">SUM(C89:C92)</f>
        <v>12.724171664383315</v>
      </c>
      <c r="D93" s="332">
        <f t="shared" si="71"/>
        <v>14.726197472228858</v>
      </c>
      <c r="E93" s="332">
        <f t="shared" ref="E93:J93" si="72">SUM(E89:E92)</f>
        <v>12.820491108827762</v>
      </c>
      <c r="F93" s="332">
        <f t="shared" si="72"/>
        <v>12.724171664383315</v>
      </c>
      <c r="G93" s="332">
        <f t="shared" si="72"/>
        <v>12.268753463454653</v>
      </c>
      <c r="H93" s="332">
        <f t="shared" si="72"/>
        <v>9.9185590190102104</v>
      </c>
      <c r="I93" s="332">
        <f t="shared" si="72"/>
        <v>9.1462969341058571</v>
      </c>
      <c r="J93" s="332">
        <f t="shared" si="72"/>
        <v>9.4322136007725241</v>
      </c>
    </row>
    <row r="94" spans="1:13" ht="6.95" customHeight="1" x14ac:dyDescent="0.25"/>
    <row r="95" spans="1:13" ht="15" customHeight="1" x14ac:dyDescent="0.25">
      <c r="A95" s="280" t="s">
        <v>192</v>
      </c>
      <c r="B95" s="334" t="s">
        <v>193</v>
      </c>
      <c r="C95" s="335">
        <f t="shared" ref="C95" si="73">C7*C10/C79</f>
        <v>49.535065979273455</v>
      </c>
      <c r="D95" s="336">
        <f t="shared" ref="D95:J95" si="74">D7*D10/D79</f>
        <v>42.800776243524894</v>
      </c>
      <c r="E95" s="336">
        <f t="shared" si="74"/>
        <v>49.162912526247204</v>
      </c>
      <c r="F95" s="336">
        <f t="shared" si="74"/>
        <v>49.535065979273455</v>
      </c>
      <c r="G95" s="336">
        <f t="shared" si="74"/>
        <v>51.373815995594278</v>
      </c>
      <c r="H95" s="336">
        <f t="shared" si="74"/>
        <v>63.546799663014689</v>
      </c>
      <c r="I95" s="336">
        <f t="shared" si="74"/>
        <v>68.912335502307485</v>
      </c>
      <c r="J95" s="336">
        <f t="shared" si="74"/>
        <v>66.823410665255338</v>
      </c>
      <c r="K95" s="296"/>
      <c r="L95" s="296"/>
      <c r="M95" s="296"/>
    </row>
  </sheetData>
  <sheetProtection password="CDE3" sheet="1" objects="1" scenarios="1"/>
  <phoneticPr fontId="9" type="noConversion"/>
  <conditionalFormatting sqref="D41">
    <cfRule type="cellIs" dxfId="73" priority="3" operator="equal">
      <formula>0</formula>
    </cfRule>
  </conditionalFormatting>
  <conditionalFormatting sqref="C41:J41">
    <cfRule type="cellIs" dxfId="72" priority="1" stopIfTrue="1" operator="equal">
      <formula>0</formula>
    </cfRule>
  </conditionalFormatting>
  <printOptions horizontalCentered="1"/>
  <pageMargins left="0.78740157480314965" right="0.78740157480314965" top="0.98425196850393704" bottom="0.98425196850393704" header="0.51181102362204722" footer="0.51181102362204722"/>
  <pageSetup paperSize="9" scale="64" fitToHeight="2" orientation="landscape" r:id="rId1"/>
  <headerFooter alignWithMargins="0">
    <oddHeader>&amp;C&amp;F
&amp;A</oddHeader>
    <oddFooter>Seite &amp;P von &amp;N</oddFooter>
  </headerFooter>
  <rowBreaks count="1" manualBreakCount="1">
    <brk id="50"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5"/>
    <pageSetUpPr fitToPage="1"/>
  </sheetPr>
  <dimension ref="A1:J25"/>
  <sheetViews>
    <sheetView zoomScaleNormal="100" workbookViewId="0">
      <pane xSplit="1" ySplit="3" topLeftCell="B4" activePane="bottomRight" state="frozen"/>
      <selection pane="topRight" activeCell="B1" sqref="B1"/>
      <selection pane="bottomLeft" activeCell="A3" sqref="A3"/>
      <selection pane="bottomRight" activeCell="C26" sqref="C26"/>
    </sheetView>
  </sheetViews>
  <sheetFormatPr baseColWidth="10" defaultRowHeight="12.75" x14ac:dyDescent="0.25"/>
  <cols>
    <col min="1" max="1" width="45.7109375" style="179" customWidth="1"/>
    <col min="2" max="2" width="11.140625" style="179" customWidth="1"/>
    <col min="3" max="3" width="12.7109375" style="179" customWidth="1"/>
    <col min="4" max="10" width="15.28515625" style="179" customWidth="1"/>
    <col min="11" max="11" width="11.42578125" style="179"/>
    <col min="12" max="12" width="20.7109375" style="179" customWidth="1"/>
    <col min="13" max="13" width="16.5703125" style="179" bestFit="1" customWidth="1"/>
    <col min="14" max="16384" width="11.42578125" style="179"/>
  </cols>
  <sheetData>
    <row r="1" spans="1:10" ht="32.25" customHeight="1" x14ac:dyDescent="0.25">
      <c r="A1" s="177" t="s">
        <v>228</v>
      </c>
      <c r="B1" s="178"/>
      <c r="C1" s="177"/>
      <c r="D1" s="177"/>
      <c r="E1" s="177"/>
      <c r="F1" s="177"/>
      <c r="G1" s="177"/>
      <c r="H1" s="177"/>
      <c r="I1" s="177"/>
      <c r="J1" s="177"/>
    </row>
    <row r="2" spans="1:10" ht="18" customHeight="1" x14ac:dyDescent="0.25">
      <c r="A2" s="180" t="s">
        <v>173</v>
      </c>
      <c r="B2" s="378"/>
      <c r="C2" s="181" t="str">
        <f>'Melkkar und Herde'!C2</f>
        <v>offen</v>
      </c>
      <c r="D2" s="181">
        <f>'Melkkar und Herde'!D2</f>
        <v>1</v>
      </c>
      <c r="E2" s="181">
        <f>'Melkkar und Herde'!E2</f>
        <v>2</v>
      </c>
      <c r="F2" s="181">
        <f>'Melkkar und Herde'!F2</f>
        <v>3</v>
      </c>
      <c r="G2" s="181">
        <f>'Melkkar und Herde'!G2</f>
        <v>4</v>
      </c>
      <c r="H2" s="181">
        <f>'Melkkar und Herde'!H2</f>
        <v>5</v>
      </c>
      <c r="I2" s="181">
        <f>'Melkkar und Herde'!I2</f>
        <v>6</v>
      </c>
      <c r="J2" s="181">
        <f>'Melkkar und Herde'!J2</f>
        <v>7</v>
      </c>
    </row>
    <row r="3" spans="1:10" ht="15" customHeight="1" x14ac:dyDescent="0.25">
      <c r="A3" s="182" t="s">
        <v>58</v>
      </c>
      <c r="B3" s="347"/>
      <c r="C3" s="183" t="str">
        <f>'Melkkar und Herde'!C3</f>
        <v>Kar IM 28</v>
      </c>
      <c r="D3" s="183" t="str">
        <f>'Melkkar und Herde'!D3</f>
        <v>Kar IM 20</v>
      </c>
      <c r="E3" s="183" t="str">
        <f>'Melkkar und Herde'!E3</f>
        <v>Kar IM 24</v>
      </c>
      <c r="F3" s="183" t="str">
        <f>'Melkkar und Herde'!F3</f>
        <v>Kar IM 28</v>
      </c>
      <c r="G3" s="183" t="str">
        <f>'Melkkar und Herde'!G3</f>
        <v>Kar IM 36</v>
      </c>
      <c r="H3" s="183" t="str">
        <f>'Melkkar und Herde'!H3</f>
        <v>Kar AM 48</v>
      </c>
      <c r="I3" s="183" t="str">
        <f>'Melkkar und Herde'!I3</f>
        <v>Kar AM 60</v>
      </c>
      <c r="J3" s="183" t="str">
        <f>'Melkkar und Herde'!J3</f>
        <v>Kar AM 72</v>
      </c>
    </row>
    <row r="4" spans="1:10" ht="15" customHeight="1" x14ac:dyDescent="0.25">
      <c r="A4" s="184" t="s">
        <v>162</v>
      </c>
      <c r="B4" s="348"/>
      <c r="C4" s="185">
        <f>'Melkkar und Herde'!C7</f>
        <v>414.4390243902439</v>
      </c>
      <c r="D4" s="185">
        <f>'Melkkar und Herde'!D7</f>
        <v>207.21951219512195</v>
      </c>
      <c r="E4" s="185">
        <f>'Melkkar und Herde'!E7</f>
        <v>414.4390243902439</v>
      </c>
      <c r="F4" s="185">
        <f>'Melkkar und Herde'!F7</f>
        <v>414.4390243902439</v>
      </c>
      <c r="G4" s="185">
        <f>'Melkkar und Herde'!G7</f>
        <v>621.65853658536582</v>
      </c>
      <c r="H4" s="185">
        <f>'Melkkar und Herde'!H7</f>
        <v>621.65853658536582</v>
      </c>
      <c r="I4" s="185">
        <f>'Melkkar und Herde'!I7</f>
        <v>1036.0975609756097</v>
      </c>
      <c r="J4" s="185">
        <f>'Melkkar und Herde'!J7</f>
        <v>1036.0975609756097</v>
      </c>
    </row>
    <row r="5" spans="1:10" ht="6.95" customHeight="1" x14ac:dyDescent="0.25">
      <c r="A5" s="186"/>
      <c r="B5" s="225"/>
      <c r="D5" s="187"/>
    </row>
    <row r="6" spans="1:10" ht="18" customHeight="1" x14ac:dyDescent="0.25">
      <c r="A6" s="188" t="s">
        <v>194</v>
      </c>
      <c r="B6" s="379"/>
      <c r="C6" s="189"/>
      <c r="D6" s="189"/>
      <c r="E6" s="190"/>
      <c r="F6" s="190"/>
      <c r="G6" s="190"/>
      <c r="H6" s="190"/>
      <c r="I6" s="190"/>
      <c r="J6" s="191"/>
    </row>
    <row r="7" spans="1:10" ht="18" customHeight="1" x14ac:dyDescent="0.25">
      <c r="A7" s="192" t="s">
        <v>54</v>
      </c>
      <c r="B7" s="380"/>
      <c r="C7" s="193"/>
      <c r="D7" s="193"/>
      <c r="E7" s="194"/>
      <c r="F7" s="194"/>
      <c r="G7" s="194"/>
      <c r="H7" s="194"/>
      <c r="I7" s="194"/>
      <c r="J7" s="195"/>
    </row>
    <row r="8" spans="1:10" ht="15" customHeight="1" x14ac:dyDescent="0.25">
      <c r="A8" s="196" t="s">
        <v>48</v>
      </c>
      <c r="B8" s="272" t="s">
        <v>159</v>
      </c>
      <c r="C8" s="197">
        <f>AKh!C14*AKh!C16</f>
        <v>28</v>
      </c>
      <c r="D8" s="198">
        <f>AKh!D14*AKh!D16</f>
        <v>20</v>
      </c>
      <c r="E8" s="198">
        <f>AKh!E14*AKh!E16</f>
        <v>24</v>
      </c>
      <c r="F8" s="198">
        <f>AKh!F14*AKh!F16</f>
        <v>28</v>
      </c>
      <c r="G8" s="198">
        <f>AKh!G14*AKh!G16</f>
        <v>36</v>
      </c>
      <c r="H8" s="198">
        <f>AKh!H14*AKh!H16</f>
        <v>48</v>
      </c>
      <c r="I8" s="198">
        <f>AKh!I14*AKh!I16</f>
        <v>60</v>
      </c>
      <c r="J8" s="198">
        <f>AKh!J14*AKh!J16</f>
        <v>72</v>
      </c>
    </row>
    <row r="9" spans="1:10" ht="15" customHeight="1" x14ac:dyDescent="0.25">
      <c r="A9" s="199" t="s">
        <v>51</v>
      </c>
      <c r="B9" s="273" t="s">
        <v>8</v>
      </c>
      <c r="C9" s="200">
        <v>1.1000000000000001</v>
      </c>
      <c r="D9" s="201">
        <v>1.1000000000000001</v>
      </c>
      <c r="E9" s="201">
        <v>1.1000000000000001</v>
      </c>
      <c r="F9" s="201">
        <v>1.1000000000000001</v>
      </c>
      <c r="G9" s="201">
        <v>1.1000000000000001</v>
      </c>
      <c r="H9" s="201">
        <v>1</v>
      </c>
      <c r="I9" s="201">
        <v>1</v>
      </c>
      <c r="J9" s="201">
        <v>1</v>
      </c>
    </row>
    <row r="10" spans="1:10" ht="15" customHeight="1" x14ac:dyDescent="0.25">
      <c r="A10" s="199" t="s">
        <v>52</v>
      </c>
      <c r="B10" s="273" t="s">
        <v>8</v>
      </c>
      <c r="C10" s="200">
        <v>1.5</v>
      </c>
      <c r="D10" s="201">
        <v>1.5</v>
      </c>
      <c r="E10" s="201">
        <v>1.5</v>
      </c>
      <c r="F10" s="201">
        <v>1.5</v>
      </c>
      <c r="G10" s="201">
        <v>1.5</v>
      </c>
      <c r="H10" s="201">
        <v>1.5</v>
      </c>
      <c r="I10" s="201">
        <v>1.5</v>
      </c>
      <c r="J10" s="201">
        <v>1.5</v>
      </c>
    </row>
    <row r="11" spans="1:10" ht="15" customHeight="1" x14ac:dyDescent="0.25">
      <c r="A11" s="199" t="s">
        <v>47</v>
      </c>
      <c r="B11" s="273" t="s">
        <v>8</v>
      </c>
      <c r="C11" s="202">
        <f>C8*C9+2*C10</f>
        <v>33.800000000000004</v>
      </c>
      <c r="D11" s="201">
        <f>D8*D9+2*D10</f>
        <v>25</v>
      </c>
      <c r="E11" s="201">
        <f t="shared" ref="E11:J11" si="0">E8*E9+2*E10</f>
        <v>29.400000000000002</v>
      </c>
      <c r="F11" s="201">
        <f t="shared" si="0"/>
        <v>33.800000000000004</v>
      </c>
      <c r="G11" s="201">
        <f t="shared" si="0"/>
        <v>42.6</v>
      </c>
      <c r="H11" s="201">
        <f t="shared" si="0"/>
        <v>51</v>
      </c>
      <c r="I11" s="201">
        <f t="shared" si="0"/>
        <v>63</v>
      </c>
      <c r="J11" s="201">
        <f t="shared" si="0"/>
        <v>75</v>
      </c>
    </row>
    <row r="12" spans="1:10" ht="15" customHeight="1" x14ac:dyDescent="0.25">
      <c r="A12" s="199" t="s">
        <v>151</v>
      </c>
      <c r="B12" s="273" t="s">
        <v>50</v>
      </c>
      <c r="C12" s="203">
        <v>50</v>
      </c>
      <c r="D12" s="204">
        <v>50</v>
      </c>
      <c r="E12" s="204">
        <v>50</v>
      </c>
      <c r="F12" s="204">
        <v>50</v>
      </c>
      <c r="G12" s="204">
        <v>75</v>
      </c>
      <c r="H12" s="204">
        <v>75</v>
      </c>
      <c r="I12" s="204">
        <v>100</v>
      </c>
      <c r="J12" s="204">
        <v>100</v>
      </c>
    </row>
    <row r="13" spans="1:10" ht="15" customHeight="1" x14ac:dyDescent="0.25">
      <c r="A13" s="199" t="s">
        <v>49</v>
      </c>
      <c r="B13" s="273" t="s">
        <v>159</v>
      </c>
      <c r="C13" s="203">
        <v>1</v>
      </c>
      <c r="D13" s="204">
        <v>1</v>
      </c>
      <c r="E13" s="204">
        <v>1</v>
      </c>
      <c r="F13" s="204">
        <v>1</v>
      </c>
      <c r="G13" s="204">
        <v>1</v>
      </c>
      <c r="H13" s="204">
        <v>1</v>
      </c>
      <c r="I13" s="204">
        <v>1</v>
      </c>
      <c r="J13" s="204">
        <v>2</v>
      </c>
    </row>
    <row r="14" spans="1:10" ht="15" customHeight="1" x14ac:dyDescent="0.25">
      <c r="A14" s="199" t="s">
        <v>195</v>
      </c>
      <c r="B14" s="273" t="s">
        <v>8</v>
      </c>
      <c r="C14" s="203">
        <v>20</v>
      </c>
      <c r="D14" s="204">
        <v>20</v>
      </c>
      <c r="E14" s="204">
        <v>20</v>
      </c>
      <c r="F14" s="204">
        <v>20</v>
      </c>
      <c r="G14" s="204">
        <v>20</v>
      </c>
      <c r="H14" s="204">
        <v>25</v>
      </c>
      <c r="I14" s="204">
        <v>25</v>
      </c>
      <c r="J14" s="204">
        <v>30</v>
      </c>
    </row>
    <row r="15" spans="1:10" ht="15" customHeight="1" x14ac:dyDescent="0.25">
      <c r="A15" s="205" t="s">
        <v>152</v>
      </c>
      <c r="B15" s="288" t="s">
        <v>50</v>
      </c>
      <c r="C15" s="206">
        <v>38</v>
      </c>
      <c r="D15" s="207">
        <v>38</v>
      </c>
      <c r="E15" s="207">
        <v>38</v>
      </c>
      <c r="F15" s="207">
        <v>38</v>
      </c>
      <c r="G15" s="207">
        <v>38</v>
      </c>
      <c r="H15" s="207">
        <v>50</v>
      </c>
      <c r="I15" s="207">
        <v>50</v>
      </c>
      <c r="J15" s="207">
        <v>50</v>
      </c>
    </row>
    <row r="16" spans="1:10" ht="15" customHeight="1" x14ac:dyDescent="0.25">
      <c r="A16" s="208" t="s">
        <v>196</v>
      </c>
      <c r="B16" s="272" t="s">
        <v>197</v>
      </c>
      <c r="C16" s="209">
        <f t="shared" ref="C16" si="1">C8*0.3+C11*C12/1000*3.14159265359+C13*0.61+2*C14*C15/1000*3.14159265369</f>
        <v>19.094512418175899</v>
      </c>
      <c r="D16" s="210">
        <f t="shared" ref="D16:I16" si="2">D8*0.3+D11*D12/1000*3.14159265359+D13*0.61+2*D14*D15/1000*3.14159265369</f>
        <v>15.3122116505963</v>
      </c>
      <c r="E16" s="210">
        <f t="shared" si="2"/>
        <v>17.2033620343861</v>
      </c>
      <c r="F16" s="210">
        <f t="shared" si="2"/>
        <v>19.094512418175899</v>
      </c>
      <c r="G16" s="210">
        <f t="shared" si="2"/>
        <v>26.222609361828844</v>
      </c>
      <c r="H16" s="210">
        <f t="shared" si="2"/>
        <v>34.880573534206746</v>
      </c>
      <c r="I16" s="210">
        <f t="shared" si="2"/>
        <v>46.256015351842002</v>
      </c>
      <c r="J16" s="210">
        <f>J8*0.3+J11*J12/1000*3.14159265359+J13*0.61+2*J14*J15/1000*3.14159265369</f>
        <v>55.806722862994995</v>
      </c>
    </row>
    <row r="17" spans="1:10" ht="15" customHeight="1" x14ac:dyDescent="0.25">
      <c r="A17" s="211" t="s">
        <v>53</v>
      </c>
      <c r="B17" s="273" t="s">
        <v>123</v>
      </c>
      <c r="C17" s="212">
        <f>C16*21</f>
        <v>400.98476078169386</v>
      </c>
      <c r="D17" s="213">
        <f>D16*21</f>
        <v>321.55644466252232</v>
      </c>
      <c r="E17" s="213">
        <f>E16*21</f>
        <v>361.27060272210809</v>
      </c>
      <c r="F17" s="213">
        <f t="shared" ref="F17:J17" si="3">F16*21</f>
        <v>400.98476078169386</v>
      </c>
      <c r="G17" s="213">
        <f t="shared" si="3"/>
        <v>550.67479659840569</v>
      </c>
      <c r="H17" s="213">
        <f t="shared" si="3"/>
        <v>732.49204421834168</v>
      </c>
      <c r="I17" s="213">
        <f t="shared" si="3"/>
        <v>971.37632238868207</v>
      </c>
      <c r="J17" s="213">
        <f t="shared" si="3"/>
        <v>1171.9411801228948</v>
      </c>
    </row>
    <row r="18" spans="1:10" ht="15" customHeight="1" x14ac:dyDescent="0.25">
      <c r="A18" s="211" t="s">
        <v>125</v>
      </c>
      <c r="B18" s="273" t="s">
        <v>123</v>
      </c>
      <c r="C18" s="212">
        <f>C17-120</f>
        <v>280.98476078169386</v>
      </c>
      <c r="D18" s="213">
        <f>D17-120</f>
        <v>201.55644466252232</v>
      </c>
      <c r="E18" s="213">
        <f>E17-120</f>
        <v>241.27060272210809</v>
      </c>
      <c r="F18" s="213">
        <f t="shared" ref="F18:J18" si="4">F17-120</f>
        <v>280.98476078169386</v>
      </c>
      <c r="G18" s="213">
        <f t="shared" si="4"/>
        <v>430.67479659840569</v>
      </c>
      <c r="H18" s="213">
        <f t="shared" si="4"/>
        <v>612.49204421834168</v>
      </c>
      <c r="I18" s="213">
        <f t="shared" si="4"/>
        <v>851.37632238868207</v>
      </c>
      <c r="J18" s="213">
        <f t="shared" si="4"/>
        <v>1051.9411801228948</v>
      </c>
    </row>
    <row r="19" spans="1:10" ht="15" customHeight="1" x14ac:dyDescent="0.25">
      <c r="A19" s="211" t="s">
        <v>124</v>
      </c>
      <c r="B19" s="273" t="s">
        <v>97</v>
      </c>
      <c r="C19" s="212">
        <f>C17*'Melkkar und Herde'!C12</f>
        <v>801.96952156338773</v>
      </c>
      <c r="D19" s="213">
        <f>D17*'Melkkar und Herde'!D12</f>
        <v>643.11288932504465</v>
      </c>
      <c r="E19" s="213">
        <f>E17*'Melkkar und Herde'!E12</f>
        <v>722.54120544421619</v>
      </c>
      <c r="F19" s="213">
        <f>F17*'Melkkar und Herde'!F12</f>
        <v>801.96952156338773</v>
      </c>
      <c r="G19" s="213">
        <f>G17*'Melkkar und Herde'!G12</f>
        <v>1101.3495931968114</v>
      </c>
      <c r="H19" s="213">
        <f>H17*'Melkkar und Herde'!H12</f>
        <v>1464.9840884366834</v>
      </c>
      <c r="I19" s="213">
        <f>I17*'Melkkar und Herde'!I12</f>
        <v>1942.7526447773641</v>
      </c>
      <c r="J19" s="213">
        <f>J17*'Melkkar und Herde'!J12</f>
        <v>2343.8823602457896</v>
      </c>
    </row>
    <row r="20" spans="1:10" ht="15" customHeight="1" x14ac:dyDescent="0.25">
      <c r="A20" s="214" t="s">
        <v>125</v>
      </c>
      <c r="B20" s="288" t="s">
        <v>97</v>
      </c>
      <c r="C20" s="215">
        <f>C18*'Melkkar und Herde'!C12</f>
        <v>561.96952156338773</v>
      </c>
      <c r="D20" s="216">
        <f>D18*'Melkkar und Herde'!D12</f>
        <v>403.11288932504465</v>
      </c>
      <c r="E20" s="216">
        <f>E18*'Melkkar und Herde'!E12</f>
        <v>482.54120544421619</v>
      </c>
      <c r="F20" s="216">
        <f>F18*'Melkkar und Herde'!F12</f>
        <v>561.96952156338773</v>
      </c>
      <c r="G20" s="216">
        <f>G18*'Melkkar und Herde'!G12</f>
        <v>861.34959319681138</v>
      </c>
      <c r="H20" s="216">
        <f>H18*'Melkkar und Herde'!H12</f>
        <v>1224.9840884366834</v>
      </c>
      <c r="I20" s="216">
        <f>I18*'Melkkar und Herde'!I12</f>
        <v>1702.7526447773641</v>
      </c>
      <c r="J20" s="216">
        <f>J18*'Melkkar und Herde'!J12</f>
        <v>2103.8823602457896</v>
      </c>
    </row>
    <row r="21" spans="1:10" ht="6.95" customHeight="1" x14ac:dyDescent="0.25">
      <c r="A21" s="217"/>
      <c r="B21" s="381"/>
      <c r="C21" s="217"/>
      <c r="D21" s="218"/>
      <c r="E21" s="218"/>
      <c r="F21" s="218"/>
      <c r="G21" s="218"/>
      <c r="H21" s="218"/>
      <c r="I21" s="218"/>
      <c r="J21" s="218"/>
    </row>
    <row r="22" spans="1:10" ht="18" customHeight="1" x14ac:dyDescent="0.25">
      <c r="A22" s="219" t="s">
        <v>136</v>
      </c>
      <c r="B22" s="382"/>
      <c r="C22" s="220"/>
      <c r="D22" s="220"/>
      <c r="E22" s="220"/>
      <c r="F22" s="220"/>
      <c r="G22" s="220"/>
      <c r="H22" s="220"/>
      <c r="I22" s="220"/>
      <c r="J22" s="221"/>
    </row>
    <row r="23" spans="1:10" ht="15" customHeight="1" x14ac:dyDescent="0.25">
      <c r="A23" s="208" t="s">
        <v>119</v>
      </c>
      <c r="B23" s="272" t="s">
        <v>198</v>
      </c>
      <c r="C23" s="222">
        <f>'Melkkar und Herde'!C16</f>
        <v>828.8780487804878</v>
      </c>
      <c r="D23" s="223">
        <f>'Melkkar und Herde'!D16</f>
        <v>414.4390243902439</v>
      </c>
      <c r="E23" s="223">
        <f>'Melkkar und Herde'!E16</f>
        <v>828.8780487804878</v>
      </c>
      <c r="F23" s="223">
        <f>'Melkkar und Herde'!F16</f>
        <v>828.8780487804878</v>
      </c>
      <c r="G23" s="223">
        <f>'Melkkar und Herde'!G16</f>
        <v>1243.3170731707316</v>
      </c>
      <c r="H23" s="223">
        <f>'Melkkar und Herde'!H16</f>
        <v>1243.3170731707316</v>
      </c>
      <c r="I23" s="223">
        <f>'Melkkar und Herde'!I16</f>
        <v>2072.1951219512193</v>
      </c>
      <c r="J23" s="223">
        <f>'Melkkar und Herde'!J16</f>
        <v>2072.1951219512193</v>
      </c>
    </row>
    <row r="24" spans="1:10" ht="15" customHeight="1" x14ac:dyDescent="0.25">
      <c r="A24" s="211" t="s">
        <v>199</v>
      </c>
      <c r="B24" s="273" t="s">
        <v>118</v>
      </c>
      <c r="C24" s="224">
        <v>0.5</v>
      </c>
      <c r="D24" s="204">
        <v>0.5</v>
      </c>
      <c r="E24" s="204">
        <v>0.5</v>
      </c>
      <c r="F24" s="204">
        <v>0.5</v>
      </c>
      <c r="G24" s="204">
        <v>0.5</v>
      </c>
      <c r="H24" s="204">
        <v>0.5</v>
      </c>
      <c r="I24" s="204">
        <v>0.5</v>
      </c>
      <c r="J24" s="204">
        <v>0.5</v>
      </c>
    </row>
    <row r="25" spans="1:10" ht="15" customHeight="1" x14ac:dyDescent="0.25">
      <c r="A25" s="214" t="s">
        <v>200</v>
      </c>
      <c r="B25" s="288" t="s">
        <v>97</v>
      </c>
      <c r="C25" s="215">
        <f t="shared" ref="C25" si="5">C24*C23</f>
        <v>414.4390243902439</v>
      </c>
      <c r="D25" s="216">
        <f t="shared" ref="D25" si="6">D24*D23</f>
        <v>207.21951219512195</v>
      </c>
      <c r="E25" s="216">
        <f t="shared" ref="E25:J25" si="7">E24*E23</f>
        <v>414.4390243902439</v>
      </c>
      <c r="F25" s="216">
        <f t="shared" si="7"/>
        <v>414.4390243902439</v>
      </c>
      <c r="G25" s="216">
        <f t="shared" si="7"/>
        <v>621.65853658536582</v>
      </c>
      <c r="H25" s="216">
        <f t="shared" si="7"/>
        <v>621.65853658536582</v>
      </c>
      <c r="I25" s="216">
        <f t="shared" si="7"/>
        <v>1036.0975609756097</v>
      </c>
      <c r="J25" s="216">
        <f t="shared" si="7"/>
        <v>1036.0975609756097</v>
      </c>
    </row>
  </sheetData>
  <sheetProtection password="CDE3" sheet="1" objects="1" scenarios="1"/>
  <phoneticPr fontId="9" type="noConversion"/>
  <printOptions horizontalCentered="1"/>
  <pageMargins left="0.78740157480314965" right="0.78740157480314965" top="0.98425196850393704" bottom="0.98425196850393704" header="0.51181102362204722" footer="0.51181102362204722"/>
  <pageSetup paperSize="9" scale="73" orientation="landscape" r:id="rId1"/>
  <headerFooter alignWithMargins="0">
    <oddHeader>&amp;C&amp;F
&amp;A</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3"/>
  </sheetPr>
  <dimension ref="A1:S191"/>
  <sheetViews>
    <sheetView tabSelected="1" zoomScaleNormal="100" zoomScaleSheetLayoutView="90" workbookViewId="0">
      <pane xSplit="1" ySplit="4" topLeftCell="B86" activePane="bottomRight" state="frozen"/>
      <selection pane="topRight" activeCell="B1" sqref="B1"/>
      <selection pane="bottomLeft" activeCell="A4" sqref="A4"/>
      <selection pane="bottomRight" activeCell="B4" sqref="B4"/>
    </sheetView>
  </sheetViews>
  <sheetFormatPr baseColWidth="10" defaultRowHeight="15" customHeight="1" x14ac:dyDescent="0.25"/>
  <cols>
    <col min="1" max="1" width="44.5703125" style="48" customWidth="1"/>
    <col min="2" max="2" width="13.28515625" style="345" customWidth="1"/>
    <col min="3" max="3" width="12" style="48" customWidth="1"/>
    <col min="4" max="10" width="13.42578125" style="48" customWidth="1"/>
    <col min="11" max="11" width="16" style="48" customWidth="1"/>
    <col min="12" max="12" width="12" style="48" customWidth="1"/>
    <col min="13" max="13" width="13.140625" style="48" customWidth="1"/>
    <col min="14" max="14" width="16.7109375" style="48" customWidth="1"/>
    <col min="15" max="16" width="16" style="48" customWidth="1"/>
    <col min="17" max="17" width="11.42578125" style="48"/>
    <col min="18" max="18" width="11.7109375" style="48" customWidth="1"/>
    <col min="19" max="19" width="12" style="48" customWidth="1"/>
    <col min="20" max="16384" width="11.42578125" style="48"/>
  </cols>
  <sheetData>
    <row r="1" spans="1:10" s="45" customFormat="1" ht="33" customHeight="1" x14ac:dyDescent="0.25">
      <c r="A1" s="44" t="s">
        <v>227</v>
      </c>
      <c r="B1" s="345"/>
    </row>
    <row r="2" spans="1:10" ht="15" customHeight="1" x14ac:dyDescent="0.25">
      <c r="A2" s="46" t="s">
        <v>173</v>
      </c>
      <c r="B2" s="346"/>
      <c r="C2" s="47" t="str">
        <f>'Melkkar und Herde'!C2</f>
        <v>offen</v>
      </c>
      <c r="D2" s="47">
        <f>'Melkkar und Herde'!D2</f>
        <v>1</v>
      </c>
      <c r="E2" s="47">
        <f>'Melkkar und Herde'!E2</f>
        <v>2</v>
      </c>
      <c r="F2" s="47">
        <f>'Melkkar und Herde'!F2</f>
        <v>3</v>
      </c>
      <c r="G2" s="47">
        <f>'Melkkar und Herde'!G2</f>
        <v>4</v>
      </c>
      <c r="H2" s="47">
        <f>'Melkkar und Herde'!H2</f>
        <v>5</v>
      </c>
      <c r="I2" s="47">
        <f>'Melkkar und Herde'!I2</f>
        <v>6</v>
      </c>
      <c r="J2" s="47">
        <f>'Melkkar und Herde'!J2</f>
        <v>7</v>
      </c>
    </row>
    <row r="3" spans="1:10" s="51" customFormat="1" ht="18" customHeight="1" x14ac:dyDescent="0.25">
      <c r="A3" s="49" t="s">
        <v>58</v>
      </c>
      <c r="B3" s="347"/>
      <c r="C3" s="50" t="str">
        <f>'Melkkar und Herde'!C3</f>
        <v>Kar IM 28</v>
      </c>
      <c r="D3" s="50" t="str">
        <f>'Melkkar und Herde'!D3</f>
        <v>Kar IM 20</v>
      </c>
      <c r="E3" s="50" t="str">
        <f>'Melkkar und Herde'!E3</f>
        <v>Kar IM 24</v>
      </c>
      <c r="F3" s="50" t="str">
        <f>'Melkkar und Herde'!F3</f>
        <v>Kar IM 28</v>
      </c>
      <c r="G3" s="50" t="str">
        <f>'Melkkar und Herde'!G3</f>
        <v>Kar IM 36</v>
      </c>
      <c r="H3" s="50" t="str">
        <f>'Melkkar und Herde'!H3</f>
        <v>Kar AM 48</v>
      </c>
      <c r="I3" s="50" t="str">
        <f>'Melkkar und Herde'!I3</f>
        <v>Kar AM 60</v>
      </c>
      <c r="J3" s="50" t="str">
        <f>'Melkkar und Herde'!J3</f>
        <v>Kar AM 72</v>
      </c>
    </row>
    <row r="4" spans="1:10" ht="15" customHeight="1" x14ac:dyDescent="0.25">
      <c r="A4" s="52" t="s">
        <v>43</v>
      </c>
      <c r="B4" s="347" t="s">
        <v>159</v>
      </c>
      <c r="C4" s="53">
        <f>'Melkkar und Herde'!C4</f>
        <v>480</v>
      </c>
      <c r="D4" s="53">
        <f>'Melkkar und Herde'!D4</f>
        <v>240</v>
      </c>
      <c r="E4" s="53">
        <f>'Melkkar und Herde'!E4</f>
        <v>480</v>
      </c>
      <c r="F4" s="53">
        <f>'Melkkar und Herde'!F4</f>
        <v>480</v>
      </c>
      <c r="G4" s="53">
        <f>'Melkkar und Herde'!G4</f>
        <v>720</v>
      </c>
      <c r="H4" s="53">
        <f>'Melkkar und Herde'!H4</f>
        <v>720</v>
      </c>
      <c r="I4" s="53">
        <f>'Melkkar und Herde'!I4</f>
        <v>1200</v>
      </c>
      <c r="J4" s="53">
        <f>'Melkkar und Herde'!J4</f>
        <v>1200</v>
      </c>
    </row>
    <row r="5" spans="1:10" ht="15" customHeight="1" x14ac:dyDescent="0.25">
      <c r="A5" s="52" t="s">
        <v>13</v>
      </c>
      <c r="B5" s="347" t="s">
        <v>159</v>
      </c>
      <c r="C5" s="53">
        <f>'Melkkar und Herde'!C7</f>
        <v>414.4390243902439</v>
      </c>
      <c r="D5" s="53">
        <f>'Melkkar und Herde'!D7</f>
        <v>207.21951219512195</v>
      </c>
      <c r="E5" s="53">
        <f>'Melkkar und Herde'!E7</f>
        <v>414.4390243902439</v>
      </c>
      <c r="F5" s="53">
        <f>'Melkkar und Herde'!F7</f>
        <v>414.4390243902439</v>
      </c>
      <c r="G5" s="53">
        <f>'Melkkar und Herde'!G7</f>
        <v>621.65853658536582</v>
      </c>
      <c r="H5" s="53">
        <f>'Melkkar und Herde'!H7</f>
        <v>621.65853658536582</v>
      </c>
      <c r="I5" s="53">
        <f>'Melkkar und Herde'!I7</f>
        <v>1036.0975609756097</v>
      </c>
      <c r="J5" s="53">
        <f>'Melkkar und Herde'!J7</f>
        <v>1036.0975609756097</v>
      </c>
    </row>
    <row r="6" spans="1:10" ht="15" customHeight="1" x14ac:dyDescent="0.25">
      <c r="A6" s="52" t="s">
        <v>14</v>
      </c>
      <c r="B6" s="347" t="s">
        <v>201</v>
      </c>
      <c r="C6" s="53">
        <f>'Melkkar und Herde'!C8</f>
        <v>10000</v>
      </c>
      <c r="D6" s="53">
        <f>'Melkkar und Herde'!D8</f>
        <v>10000</v>
      </c>
      <c r="E6" s="53">
        <f>'Melkkar und Herde'!E8</f>
        <v>10000</v>
      </c>
      <c r="F6" s="53">
        <f>'Melkkar und Herde'!F8</f>
        <v>10000</v>
      </c>
      <c r="G6" s="53">
        <f>'Melkkar und Herde'!G8</f>
        <v>10000</v>
      </c>
      <c r="H6" s="53">
        <f>'Melkkar und Herde'!H8</f>
        <v>10000</v>
      </c>
      <c r="I6" s="53">
        <f>'Melkkar und Herde'!I8</f>
        <v>10000</v>
      </c>
      <c r="J6" s="53">
        <f>'Melkkar und Herde'!J8</f>
        <v>10000</v>
      </c>
    </row>
    <row r="7" spans="1:10" ht="15" customHeight="1" x14ac:dyDescent="0.25">
      <c r="A7" s="54" t="s">
        <v>15</v>
      </c>
      <c r="B7" s="348" t="s">
        <v>202</v>
      </c>
      <c r="C7" s="55">
        <f>'Melkkar und Herde'!C9</f>
        <v>13150.684931506848</v>
      </c>
      <c r="D7" s="55">
        <f>'Melkkar und Herde'!D9</f>
        <v>6575.3424657534242</v>
      </c>
      <c r="E7" s="55">
        <f>'Melkkar und Herde'!E9</f>
        <v>13150.684931506848</v>
      </c>
      <c r="F7" s="55">
        <f>'Melkkar und Herde'!F9</f>
        <v>13150.684931506848</v>
      </c>
      <c r="G7" s="55">
        <f>'Melkkar und Herde'!G9</f>
        <v>19726.027397260274</v>
      </c>
      <c r="H7" s="55">
        <f>'Melkkar und Herde'!H9</f>
        <v>19726.027397260274</v>
      </c>
      <c r="I7" s="55">
        <f>'Melkkar und Herde'!I9</f>
        <v>32876.71232876712</v>
      </c>
      <c r="J7" s="55">
        <f>'Melkkar und Herde'!J9</f>
        <v>32876.71232876712</v>
      </c>
    </row>
    <row r="8" spans="1:10" ht="6.95" customHeight="1" x14ac:dyDescent="0.25">
      <c r="B8" s="349"/>
      <c r="C8" s="56"/>
    </row>
    <row r="9" spans="1:10" s="60" customFormat="1" ht="18" customHeight="1" x14ac:dyDescent="0.2">
      <c r="A9" s="57" t="s">
        <v>144</v>
      </c>
      <c r="B9" s="350"/>
      <c r="C9" s="58"/>
      <c r="D9" s="58"/>
      <c r="E9" s="58"/>
      <c r="F9" s="58"/>
      <c r="G9" s="58"/>
      <c r="H9" s="58"/>
      <c r="I9" s="58"/>
      <c r="J9" s="59"/>
    </row>
    <row r="10" spans="1:10" ht="15" customHeight="1" x14ac:dyDescent="0.25">
      <c r="A10" s="61" t="s">
        <v>1</v>
      </c>
      <c r="B10" s="351"/>
      <c r="C10" s="62">
        <f>AKh!C14*AKh!C16</f>
        <v>28</v>
      </c>
      <c r="D10" s="63">
        <f>AKh!D14*AKh!D16</f>
        <v>20</v>
      </c>
      <c r="E10" s="63">
        <f>AKh!E14*AKh!E16</f>
        <v>24</v>
      </c>
      <c r="F10" s="63">
        <f>AKh!F14*AKh!F16</f>
        <v>28</v>
      </c>
      <c r="G10" s="63">
        <f>AKh!G14*AKh!G16</f>
        <v>36</v>
      </c>
      <c r="H10" s="63">
        <f>AKh!H14*AKh!H16</f>
        <v>48</v>
      </c>
      <c r="I10" s="63">
        <f>AKh!I14*AKh!I16</f>
        <v>60</v>
      </c>
      <c r="J10" s="63">
        <f>AKh!J14*AKh!J16</f>
        <v>72</v>
      </c>
    </row>
    <row r="11" spans="1:10" ht="15" customHeight="1" x14ac:dyDescent="0.25">
      <c r="A11" s="64" t="s">
        <v>18</v>
      </c>
      <c r="B11" s="352" t="s">
        <v>2</v>
      </c>
      <c r="C11" s="65">
        <f>IF(C10&lt;=10,250+C10*80,250+(80*10)+(55*(C10-10)))*1.25</f>
        <v>2550</v>
      </c>
      <c r="D11" s="66">
        <f>IF(D10&lt;=10,250+D10*80,250+(80*10)+(55*(D10-10)))*1.25</f>
        <v>2000</v>
      </c>
      <c r="E11" s="66">
        <f t="shared" ref="E11:J11" si="0">IF(E10&lt;=10,250+E10*80,250+(80*10)+(55*(E10-10)))*1.25</f>
        <v>2275</v>
      </c>
      <c r="F11" s="66">
        <f t="shared" si="0"/>
        <v>2550</v>
      </c>
      <c r="G11" s="66">
        <f t="shared" si="0"/>
        <v>3100</v>
      </c>
      <c r="H11" s="66">
        <f t="shared" si="0"/>
        <v>3925</v>
      </c>
      <c r="I11" s="66">
        <f t="shared" si="0"/>
        <v>4750</v>
      </c>
      <c r="J11" s="66">
        <f t="shared" si="0"/>
        <v>5575</v>
      </c>
    </row>
    <row r="12" spans="1:10" ht="15" customHeight="1" x14ac:dyDescent="0.25">
      <c r="A12" s="64" t="s">
        <v>0</v>
      </c>
      <c r="B12" s="352" t="s">
        <v>3</v>
      </c>
      <c r="C12" s="67">
        <f t="shared" ref="C12:J12" si="1">VLOOKUP(C11,$A$133:$C$147,3)</f>
        <v>7.5</v>
      </c>
      <c r="D12" s="68">
        <f t="shared" si="1"/>
        <v>5.5</v>
      </c>
      <c r="E12" s="68">
        <f t="shared" si="1"/>
        <v>7.5</v>
      </c>
      <c r="F12" s="68">
        <f t="shared" si="1"/>
        <v>7.5</v>
      </c>
      <c r="G12" s="68">
        <f t="shared" si="1"/>
        <v>9.5</v>
      </c>
      <c r="H12" s="68">
        <f t="shared" si="1"/>
        <v>10.5</v>
      </c>
      <c r="I12" s="68">
        <f t="shared" si="1"/>
        <v>13</v>
      </c>
      <c r="J12" s="68">
        <f t="shared" si="1"/>
        <v>15</v>
      </c>
    </row>
    <row r="13" spans="1:10" ht="15" customHeight="1" x14ac:dyDescent="0.25">
      <c r="A13" s="64" t="s">
        <v>46</v>
      </c>
      <c r="B13" s="352" t="s">
        <v>10</v>
      </c>
      <c r="C13" s="69">
        <v>50</v>
      </c>
      <c r="D13" s="70">
        <v>50</v>
      </c>
      <c r="E13" s="70">
        <v>50</v>
      </c>
      <c r="F13" s="70">
        <v>50</v>
      </c>
      <c r="G13" s="70">
        <v>50</v>
      </c>
      <c r="H13" s="70">
        <v>50</v>
      </c>
      <c r="I13" s="70">
        <v>50</v>
      </c>
      <c r="J13" s="70">
        <v>50</v>
      </c>
    </row>
    <row r="14" spans="1:10" ht="15" customHeight="1" x14ac:dyDescent="0.25">
      <c r="A14" s="71" t="s">
        <v>117</v>
      </c>
      <c r="B14" s="353" t="s">
        <v>6</v>
      </c>
      <c r="C14" s="72">
        <f>'Melkkar und Herde'!C12*(AKh!C50+AKh!C57/60)</f>
        <v>10.75333333333333</v>
      </c>
      <c r="D14" s="73">
        <f>'Melkkar und Herde'!D12*(AKh!D50+AKh!D57/60)</f>
        <v>5.8733333333333331</v>
      </c>
      <c r="E14" s="73">
        <f>'Melkkar und Herde'!E12*(AKh!E50+AKh!E57/60)</f>
        <v>11.146666666666667</v>
      </c>
      <c r="F14" s="73">
        <f>'Melkkar und Herde'!F12*(AKh!F50+AKh!F57/60)</f>
        <v>10.75333333333333</v>
      </c>
      <c r="G14" s="73">
        <f>'Melkkar und Herde'!G12*(AKh!G50+AKh!G57/60)</f>
        <v>8.1440000000000001</v>
      </c>
      <c r="H14" s="73">
        <f>'Melkkar und Herde'!H12*(AKh!H50+AKh!H57/60)</f>
        <v>5.426000000000001</v>
      </c>
      <c r="I14" s="73">
        <f>'Melkkar und Herde'!I12*(AKh!I50+AKh!I57/60)</f>
        <v>6.1577777777777767</v>
      </c>
      <c r="J14" s="73">
        <f>'Melkkar und Herde'!J12*(AKh!J50+AKh!J57/60)</f>
        <v>6.2044444444444444</v>
      </c>
    </row>
    <row r="15" spans="1:10" ht="15" customHeight="1" x14ac:dyDescent="0.25">
      <c r="A15" s="64" t="s">
        <v>11</v>
      </c>
      <c r="B15" s="352" t="s">
        <v>6</v>
      </c>
      <c r="C15" s="74">
        <v>1</v>
      </c>
      <c r="D15" s="68">
        <v>1</v>
      </c>
      <c r="E15" s="68">
        <v>1</v>
      </c>
      <c r="F15" s="68">
        <v>1</v>
      </c>
      <c r="G15" s="68">
        <v>1</v>
      </c>
      <c r="H15" s="68">
        <v>1</v>
      </c>
      <c r="I15" s="68">
        <v>1</v>
      </c>
      <c r="J15" s="68">
        <v>1</v>
      </c>
    </row>
    <row r="16" spans="1:10" ht="15" customHeight="1" x14ac:dyDescent="0.25">
      <c r="A16" s="75" t="s">
        <v>89</v>
      </c>
      <c r="B16" s="354" t="s">
        <v>10</v>
      </c>
      <c r="C16" s="76">
        <v>100</v>
      </c>
      <c r="D16" s="77">
        <v>100</v>
      </c>
      <c r="E16" s="77">
        <v>100</v>
      </c>
      <c r="F16" s="77">
        <v>100</v>
      </c>
      <c r="G16" s="77">
        <v>100</v>
      </c>
      <c r="H16" s="77">
        <v>100</v>
      </c>
      <c r="I16" s="77">
        <v>100</v>
      </c>
      <c r="J16" s="77">
        <v>100</v>
      </c>
    </row>
    <row r="17" spans="1:19" ht="15" customHeight="1" x14ac:dyDescent="0.25">
      <c r="A17" s="61" t="s">
        <v>154</v>
      </c>
      <c r="B17" s="355" t="s">
        <v>17</v>
      </c>
      <c r="C17" s="78">
        <f t="shared" ref="C17:J17" si="2">C14*C12*C13%+C12*C15*C16%</f>
        <v>47.824999999999989</v>
      </c>
      <c r="D17" s="79">
        <f t="shared" si="2"/>
        <v>21.651666666666667</v>
      </c>
      <c r="E17" s="79">
        <f t="shared" si="2"/>
        <v>49.3</v>
      </c>
      <c r="F17" s="79">
        <f t="shared" si="2"/>
        <v>47.824999999999989</v>
      </c>
      <c r="G17" s="79">
        <f t="shared" si="2"/>
        <v>48.183999999999997</v>
      </c>
      <c r="H17" s="79">
        <f t="shared" si="2"/>
        <v>38.986500000000007</v>
      </c>
      <c r="I17" s="79">
        <f t="shared" si="2"/>
        <v>53.025555555555549</v>
      </c>
      <c r="J17" s="79">
        <f t="shared" si="2"/>
        <v>61.533333333333331</v>
      </c>
    </row>
    <row r="18" spans="1:19" ht="15" customHeight="1" x14ac:dyDescent="0.25">
      <c r="A18" s="64"/>
      <c r="B18" s="356" t="s">
        <v>203</v>
      </c>
      <c r="C18" s="80">
        <f>C17/'Melkkar und Herde'!C16</f>
        <v>5.7698475753295654E-2</v>
      </c>
      <c r="D18" s="81">
        <f>D17/'Melkkar und Herde'!D16</f>
        <v>5.224331057752668E-2</v>
      </c>
      <c r="E18" s="81">
        <f>E17/'Melkkar und Herde'!E16</f>
        <v>5.9477989642184557E-2</v>
      </c>
      <c r="F18" s="81">
        <f>F17/'Melkkar und Herde'!F16</f>
        <v>5.7698475753295654E-2</v>
      </c>
      <c r="G18" s="81">
        <f>G17/'Melkkar und Herde'!G16</f>
        <v>3.8754394224733209E-2</v>
      </c>
      <c r="H18" s="81">
        <f>H17/'Melkkar und Herde'!H16</f>
        <v>3.135684439736347E-2</v>
      </c>
      <c r="I18" s="81">
        <f>I17/'Melkkar und Herde'!I16</f>
        <v>2.5589074597196067E-2</v>
      </c>
      <c r="J18" s="81">
        <f>J17/'Melkkar und Herde'!J16</f>
        <v>2.9694758317639677E-2</v>
      </c>
    </row>
    <row r="19" spans="1:19" ht="15" customHeight="1" x14ac:dyDescent="0.25">
      <c r="A19" s="64"/>
      <c r="B19" s="357" t="s">
        <v>204</v>
      </c>
      <c r="C19" s="82">
        <f t="shared" ref="C19:J19" si="3">C17*365/C4</f>
        <v>36.366927083333323</v>
      </c>
      <c r="D19" s="83">
        <f t="shared" si="3"/>
        <v>32.928576388888892</v>
      </c>
      <c r="E19" s="83">
        <f t="shared" si="3"/>
        <v>37.48854166666667</v>
      </c>
      <c r="F19" s="83">
        <f t="shared" si="3"/>
        <v>36.366927083333323</v>
      </c>
      <c r="G19" s="83">
        <f t="shared" si="3"/>
        <v>24.426611111111111</v>
      </c>
      <c r="H19" s="83">
        <f t="shared" si="3"/>
        <v>19.763989583333338</v>
      </c>
      <c r="I19" s="83">
        <f t="shared" si="3"/>
        <v>16.12860648148148</v>
      </c>
      <c r="J19" s="83">
        <f t="shared" si="3"/>
        <v>18.716388888888886</v>
      </c>
    </row>
    <row r="20" spans="1:19" ht="15" customHeight="1" x14ac:dyDescent="0.25">
      <c r="A20" s="75"/>
      <c r="B20" s="358" t="s">
        <v>4</v>
      </c>
      <c r="C20" s="84">
        <f t="shared" ref="C20:J20" si="4">C17/C7*1000</f>
        <v>3.6366927083333329</v>
      </c>
      <c r="D20" s="85">
        <f t="shared" si="4"/>
        <v>3.292857638888889</v>
      </c>
      <c r="E20" s="85">
        <f t="shared" si="4"/>
        <v>3.7488541666666668</v>
      </c>
      <c r="F20" s="85">
        <f t="shared" si="4"/>
        <v>3.6366927083333329</v>
      </c>
      <c r="G20" s="85">
        <f t="shared" si="4"/>
        <v>2.4426611111111112</v>
      </c>
      <c r="H20" s="85">
        <f t="shared" si="4"/>
        <v>1.9763989583333337</v>
      </c>
      <c r="I20" s="85">
        <f t="shared" si="4"/>
        <v>1.612860648148148</v>
      </c>
      <c r="J20" s="85">
        <f t="shared" si="4"/>
        <v>1.8716388888888891</v>
      </c>
    </row>
    <row r="21" spans="1:19" ht="6.95" customHeight="1" x14ac:dyDescent="0.25">
      <c r="B21" s="349"/>
      <c r="C21" s="56"/>
    </row>
    <row r="22" spans="1:19" s="60" customFormat="1" ht="18" customHeight="1" x14ac:dyDescent="0.2">
      <c r="A22" s="57" t="s">
        <v>145</v>
      </c>
      <c r="B22" s="350"/>
      <c r="C22" s="58"/>
      <c r="D22" s="58"/>
      <c r="E22" s="58"/>
      <c r="F22" s="58"/>
      <c r="G22" s="58"/>
      <c r="H22" s="58"/>
      <c r="I22" s="58"/>
      <c r="J22" s="59"/>
    </row>
    <row r="23" spans="1:19" ht="15" customHeight="1" x14ac:dyDescent="0.25">
      <c r="A23" s="61" t="s">
        <v>1</v>
      </c>
      <c r="B23" s="351"/>
      <c r="C23" s="86">
        <f t="shared" ref="C23:J23" si="5">C10</f>
        <v>28</v>
      </c>
      <c r="D23" s="87">
        <f t="shared" si="5"/>
        <v>20</v>
      </c>
      <c r="E23" s="87">
        <f t="shared" si="5"/>
        <v>24</v>
      </c>
      <c r="F23" s="87">
        <f t="shared" si="5"/>
        <v>28</v>
      </c>
      <c r="G23" s="87">
        <f t="shared" si="5"/>
        <v>36</v>
      </c>
      <c r="H23" s="87">
        <f t="shared" si="5"/>
        <v>48</v>
      </c>
      <c r="I23" s="87">
        <f t="shared" si="5"/>
        <v>60</v>
      </c>
      <c r="J23" s="87">
        <f t="shared" si="5"/>
        <v>72</v>
      </c>
      <c r="S23" s="88"/>
    </row>
    <row r="24" spans="1:19" ht="15" customHeight="1" x14ac:dyDescent="0.25">
      <c r="A24" s="64" t="s">
        <v>96</v>
      </c>
      <c r="B24" s="352" t="s">
        <v>3</v>
      </c>
      <c r="C24" s="89">
        <f t="shared" ref="C24:J24" si="6">VLOOKUP(C23,$A$150:$G$190,7)</f>
        <v>1.5</v>
      </c>
      <c r="D24" s="70">
        <f t="shared" si="6"/>
        <v>1.1000000000000001</v>
      </c>
      <c r="E24" s="70">
        <f t="shared" si="6"/>
        <v>1.5</v>
      </c>
      <c r="F24" s="70">
        <f t="shared" si="6"/>
        <v>1.5</v>
      </c>
      <c r="G24" s="70">
        <f t="shared" si="6"/>
        <v>1.5</v>
      </c>
      <c r="H24" s="70">
        <f t="shared" si="6"/>
        <v>3</v>
      </c>
      <c r="I24" s="70">
        <f t="shared" si="6"/>
        <v>3</v>
      </c>
      <c r="J24" s="70">
        <f t="shared" si="6"/>
        <v>3</v>
      </c>
    </row>
    <row r="25" spans="1:19" ht="15" customHeight="1" x14ac:dyDescent="0.25">
      <c r="A25" s="90" t="s">
        <v>98</v>
      </c>
      <c r="B25" s="352" t="s">
        <v>97</v>
      </c>
      <c r="C25" s="91">
        <f t="shared" ref="C25:J25" si="7">C7</f>
        <v>13150.684931506848</v>
      </c>
      <c r="D25" s="92">
        <f t="shared" si="7"/>
        <v>6575.3424657534242</v>
      </c>
      <c r="E25" s="92">
        <f t="shared" si="7"/>
        <v>13150.684931506848</v>
      </c>
      <c r="F25" s="92">
        <f t="shared" si="7"/>
        <v>13150.684931506848</v>
      </c>
      <c r="G25" s="92">
        <f t="shared" si="7"/>
        <v>19726.027397260274</v>
      </c>
      <c r="H25" s="92">
        <f t="shared" si="7"/>
        <v>19726.027397260274</v>
      </c>
      <c r="I25" s="92">
        <f t="shared" si="7"/>
        <v>32876.71232876712</v>
      </c>
      <c r="J25" s="92">
        <f t="shared" si="7"/>
        <v>32876.71232876712</v>
      </c>
    </row>
    <row r="26" spans="1:19" ht="15" customHeight="1" x14ac:dyDescent="0.25">
      <c r="A26" s="71" t="s">
        <v>131</v>
      </c>
      <c r="B26" s="353" t="s">
        <v>9</v>
      </c>
      <c r="C26" s="93">
        <f t="shared" ref="C26:J26" si="8">VLOOKUP(C23,$A$149:$H$190,8)</f>
        <v>10600</v>
      </c>
      <c r="D26" s="94">
        <f t="shared" si="8"/>
        <v>6100</v>
      </c>
      <c r="E26" s="94">
        <f t="shared" si="8"/>
        <v>10600</v>
      </c>
      <c r="F26" s="94">
        <f t="shared" si="8"/>
        <v>10600</v>
      </c>
      <c r="G26" s="94">
        <f t="shared" si="8"/>
        <v>10600</v>
      </c>
      <c r="H26" s="94">
        <f t="shared" si="8"/>
        <v>12200</v>
      </c>
      <c r="I26" s="94">
        <f t="shared" si="8"/>
        <v>12200</v>
      </c>
      <c r="J26" s="94">
        <f t="shared" si="8"/>
        <v>12200</v>
      </c>
    </row>
    <row r="27" spans="1:19" ht="15" customHeight="1" x14ac:dyDescent="0.25">
      <c r="A27" s="64" t="s">
        <v>12</v>
      </c>
      <c r="B27" s="352" t="s">
        <v>10</v>
      </c>
      <c r="C27" s="95">
        <v>60</v>
      </c>
      <c r="D27" s="70">
        <v>60</v>
      </c>
      <c r="E27" s="70">
        <v>60</v>
      </c>
      <c r="F27" s="70">
        <v>60</v>
      </c>
      <c r="G27" s="70">
        <v>60</v>
      </c>
      <c r="H27" s="70">
        <v>60</v>
      </c>
      <c r="I27" s="70">
        <v>60</v>
      </c>
      <c r="J27" s="70">
        <v>60</v>
      </c>
    </row>
    <row r="28" spans="1:19" ht="15" customHeight="1" x14ac:dyDescent="0.25">
      <c r="A28" s="64" t="s">
        <v>99</v>
      </c>
      <c r="B28" s="352" t="s">
        <v>6</v>
      </c>
      <c r="C28" s="72">
        <f t="shared" ref="C28" si="9">C25/C26/C27%</f>
        <v>2.0677177565262341</v>
      </c>
      <c r="D28" s="73">
        <f t="shared" ref="D28:E28" si="10">D25/D26/D27%</f>
        <v>1.7965416573096791</v>
      </c>
      <c r="E28" s="73">
        <f t="shared" si="10"/>
        <v>2.0677177565262341</v>
      </c>
      <c r="F28" s="73">
        <f t="shared" ref="F28:J28" si="11">F25/F26/F27%</f>
        <v>2.0677177565262341</v>
      </c>
      <c r="G28" s="73">
        <f t="shared" si="11"/>
        <v>3.101576634789351</v>
      </c>
      <c r="H28" s="73">
        <f t="shared" si="11"/>
        <v>2.6948124859645186</v>
      </c>
      <c r="I28" s="73">
        <f t="shared" si="11"/>
        <v>4.4913541432741972</v>
      </c>
      <c r="J28" s="73">
        <f t="shared" si="11"/>
        <v>4.4913541432741972</v>
      </c>
    </row>
    <row r="29" spans="1:19" ht="15" customHeight="1" x14ac:dyDescent="0.25">
      <c r="A29" s="64" t="s">
        <v>11</v>
      </c>
      <c r="B29" s="352" t="s">
        <v>6</v>
      </c>
      <c r="C29" s="96">
        <f t="shared" ref="C29:J29" si="12">C15</f>
        <v>1</v>
      </c>
      <c r="D29" s="73">
        <f t="shared" si="12"/>
        <v>1</v>
      </c>
      <c r="E29" s="73">
        <f t="shared" si="12"/>
        <v>1</v>
      </c>
      <c r="F29" s="73">
        <f t="shared" si="12"/>
        <v>1</v>
      </c>
      <c r="G29" s="73">
        <f t="shared" si="12"/>
        <v>1</v>
      </c>
      <c r="H29" s="73">
        <f t="shared" si="12"/>
        <v>1</v>
      </c>
      <c r="I29" s="73">
        <f t="shared" si="12"/>
        <v>1</v>
      </c>
      <c r="J29" s="73">
        <f t="shared" si="12"/>
        <v>1</v>
      </c>
    </row>
    <row r="30" spans="1:19" ht="15" customHeight="1" x14ac:dyDescent="0.25">
      <c r="A30" s="64" t="s">
        <v>101</v>
      </c>
      <c r="B30" s="352" t="s">
        <v>10</v>
      </c>
      <c r="C30" s="95">
        <v>75</v>
      </c>
      <c r="D30" s="70">
        <v>75</v>
      </c>
      <c r="E30" s="70">
        <v>75</v>
      </c>
      <c r="F30" s="70">
        <v>75</v>
      </c>
      <c r="G30" s="70">
        <v>75</v>
      </c>
      <c r="H30" s="70">
        <v>75</v>
      </c>
      <c r="I30" s="70">
        <v>75</v>
      </c>
      <c r="J30" s="70">
        <v>75</v>
      </c>
    </row>
    <row r="31" spans="1:19" ht="15" customHeight="1" x14ac:dyDescent="0.25">
      <c r="A31" s="64" t="s">
        <v>16</v>
      </c>
      <c r="B31" s="352" t="s">
        <v>6</v>
      </c>
      <c r="C31" s="97">
        <f t="shared" ref="C31" si="13">C29*C30%</f>
        <v>0.75</v>
      </c>
      <c r="D31" s="70">
        <f t="shared" ref="D31:E31" si="14">D29*D30%</f>
        <v>0.75</v>
      </c>
      <c r="E31" s="70">
        <f t="shared" si="14"/>
        <v>0.75</v>
      </c>
      <c r="F31" s="70">
        <f t="shared" ref="F31:J31" si="15">F29*F30%</f>
        <v>0.75</v>
      </c>
      <c r="G31" s="70">
        <f t="shared" si="15"/>
        <v>0.75</v>
      </c>
      <c r="H31" s="70">
        <f t="shared" si="15"/>
        <v>0.75</v>
      </c>
      <c r="I31" s="70">
        <f t="shared" si="15"/>
        <v>0.75</v>
      </c>
      <c r="J31" s="70">
        <f t="shared" si="15"/>
        <v>0.75</v>
      </c>
    </row>
    <row r="32" spans="1:19" ht="15" customHeight="1" x14ac:dyDescent="0.25">
      <c r="A32" s="75" t="s">
        <v>100</v>
      </c>
      <c r="B32" s="354" t="s">
        <v>6</v>
      </c>
      <c r="C32" s="98">
        <f t="shared" ref="C32" si="16">C31+C28</f>
        <v>2.8177177565262341</v>
      </c>
      <c r="D32" s="99">
        <f t="shared" ref="D32:E32" si="17">D31+D28</f>
        <v>2.5465416573096791</v>
      </c>
      <c r="E32" s="99">
        <f t="shared" si="17"/>
        <v>2.8177177565262341</v>
      </c>
      <c r="F32" s="99">
        <f t="shared" ref="F32:J32" si="18">F31+F28</f>
        <v>2.8177177565262341</v>
      </c>
      <c r="G32" s="99">
        <f t="shared" si="18"/>
        <v>3.851576634789351</v>
      </c>
      <c r="H32" s="99">
        <f t="shared" si="18"/>
        <v>3.4448124859645186</v>
      </c>
      <c r="I32" s="99">
        <f t="shared" si="18"/>
        <v>5.2413541432741972</v>
      </c>
      <c r="J32" s="99">
        <f t="shared" si="18"/>
        <v>5.2413541432741972</v>
      </c>
    </row>
    <row r="33" spans="1:14" ht="15" customHeight="1" x14ac:dyDescent="0.25">
      <c r="A33" s="61" t="s">
        <v>154</v>
      </c>
      <c r="B33" s="355" t="s">
        <v>17</v>
      </c>
      <c r="C33" s="78">
        <f t="shared" ref="C33" si="19">C32*C24</f>
        <v>4.2265766347893514</v>
      </c>
      <c r="D33" s="79">
        <f t="shared" ref="D33:E33" si="20">D32*D24</f>
        <v>2.8011958230406471</v>
      </c>
      <c r="E33" s="79">
        <f t="shared" si="20"/>
        <v>4.2265766347893514</v>
      </c>
      <c r="F33" s="79">
        <f t="shared" ref="F33:J33" si="21">F32*F24</f>
        <v>4.2265766347893514</v>
      </c>
      <c r="G33" s="79">
        <f t="shared" si="21"/>
        <v>5.7773649521840262</v>
      </c>
      <c r="H33" s="79">
        <f t="shared" si="21"/>
        <v>10.334437457893555</v>
      </c>
      <c r="I33" s="79">
        <f t="shared" si="21"/>
        <v>15.724062429822592</v>
      </c>
      <c r="J33" s="79">
        <f t="shared" si="21"/>
        <v>15.724062429822592</v>
      </c>
    </row>
    <row r="34" spans="1:14" ht="15" customHeight="1" x14ac:dyDescent="0.25">
      <c r="A34" s="64"/>
      <c r="B34" s="356" t="s">
        <v>102</v>
      </c>
      <c r="C34" s="80">
        <f>C33/'Melkkar und Herde'!C16</f>
        <v>5.0991537790243471E-3</v>
      </c>
      <c r="D34" s="81">
        <f>D33/'Melkkar und Herde'!D16</f>
        <v>6.7590059289469474E-3</v>
      </c>
      <c r="E34" s="81">
        <f>E33/'Melkkar und Herde'!E16</f>
        <v>5.0991537790243471E-3</v>
      </c>
      <c r="F34" s="81">
        <f>F33/'Melkkar und Herde'!F16</f>
        <v>5.0991537790243471E-3</v>
      </c>
      <c r="G34" s="81">
        <f>G33/'Melkkar und Herde'!G16</f>
        <v>4.6467349937136119E-3</v>
      </c>
      <c r="H34" s="81">
        <f>H33/'Melkkar und Herde'!H16</f>
        <v>8.3119886961243675E-3</v>
      </c>
      <c r="I34" s="81">
        <f>I33/'Melkkar und Herde'!I16</f>
        <v>7.5881186396271928E-3</v>
      </c>
      <c r="J34" s="81">
        <f>J33/'Melkkar und Herde'!J16</f>
        <v>7.5881186396271928E-3</v>
      </c>
    </row>
    <row r="35" spans="1:14" ht="15" customHeight="1" x14ac:dyDescent="0.25">
      <c r="A35" s="64"/>
      <c r="B35" s="357" t="s">
        <v>204</v>
      </c>
      <c r="C35" s="82">
        <f t="shared" ref="C35:J35" si="22">C33*365/C4</f>
        <v>3.213959316037736</v>
      </c>
      <c r="D35" s="83">
        <f t="shared" si="22"/>
        <v>4.2601519808743173</v>
      </c>
      <c r="E35" s="83">
        <f t="shared" si="22"/>
        <v>3.213959316037736</v>
      </c>
      <c r="F35" s="83">
        <f t="shared" si="22"/>
        <v>3.213959316037736</v>
      </c>
      <c r="G35" s="83">
        <f t="shared" si="22"/>
        <v>2.9288030660377355</v>
      </c>
      <c r="H35" s="83">
        <f t="shared" si="22"/>
        <v>5.2389856557377055</v>
      </c>
      <c r="I35" s="83">
        <f t="shared" si="22"/>
        <v>4.7827356557377056</v>
      </c>
      <c r="J35" s="83">
        <f t="shared" si="22"/>
        <v>4.7827356557377056</v>
      </c>
    </row>
    <row r="36" spans="1:14" ht="15" customHeight="1" x14ac:dyDescent="0.25">
      <c r="A36" s="75"/>
      <c r="B36" s="358" t="s">
        <v>4</v>
      </c>
      <c r="C36" s="84">
        <f t="shared" ref="C36:J36" si="23">C33/C7*1000</f>
        <v>0.32139593160377361</v>
      </c>
      <c r="D36" s="85">
        <f t="shared" si="23"/>
        <v>0.42601519808743177</v>
      </c>
      <c r="E36" s="85">
        <f t="shared" si="23"/>
        <v>0.32139593160377361</v>
      </c>
      <c r="F36" s="85">
        <f t="shared" si="23"/>
        <v>0.32139593160377361</v>
      </c>
      <c r="G36" s="85">
        <f t="shared" si="23"/>
        <v>0.29288030660377357</v>
      </c>
      <c r="H36" s="85">
        <f t="shared" si="23"/>
        <v>0.52389856557377046</v>
      </c>
      <c r="I36" s="85">
        <f t="shared" si="23"/>
        <v>0.47827356557377054</v>
      </c>
      <c r="J36" s="85">
        <f t="shared" si="23"/>
        <v>0.47827356557377054</v>
      </c>
    </row>
    <row r="37" spans="1:14" ht="6.95" customHeight="1" x14ac:dyDescent="0.25"/>
    <row r="38" spans="1:14" s="60" customFormat="1" ht="18" customHeight="1" x14ac:dyDescent="0.2">
      <c r="A38" s="57" t="s">
        <v>209</v>
      </c>
      <c r="B38" s="350"/>
      <c r="C38" s="58"/>
      <c r="D38" s="58"/>
      <c r="E38" s="58"/>
      <c r="F38" s="58"/>
      <c r="G38" s="58"/>
      <c r="H38" s="58"/>
      <c r="I38" s="58"/>
      <c r="J38" s="59"/>
    </row>
    <row r="39" spans="1:14" ht="15" customHeight="1" x14ac:dyDescent="0.25">
      <c r="A39" s="61" t="s">
        <v>1</v>
      </c>
      <c r="B39" s="351"/>
      <c r="C39" s="86">
        <f t="shared" ref="C39:J39" si="24">C10</f>
        <v>28</v>
      </c>
      <c r="D39" s="87">
        <f t="shared" si="24"/>
        <v>20</v>
      </c>
      <c r="E39" s="87">
        <f t="shared" si="24"/>
        <v>24</v>
      </c>
      <c r="F39" s="87">
        <f t="shared" si="24"/>
        <v>28</v>
      </c>
      <c r="G39" s="87">
        <f t="shared" si="24"/>
        <v>36</v>
      </c>
      <c r="H39" s="87">
        <f t="shared" si="24"/>
        <v>48</v>
      </c>
      <c r="I39" s="87">
        <f t="shared" si="24"/>
        <v>60</v>
      </c>
      <c r="J39" s="87">
        <f t="shared" si="24"/>
        <v>72</v>
      </c>
      <c r="K39" s="100"/>
      <c r="L39" s="101"/>
      <c r="M39" s="102"/>
      <c r="N39" s="102"/>
    </row>
    <row r="40" spans="1:14" ht="15" customHeight="1" x14ac:dyDescent="0.25">
      <c r="A40" s="103" t="s">
        <v>126</v>
      </c>
      <c r="B40" s="359" t="s">
        <v>55</v>
      </c>
      <c r="C40" s="126">
        <f>Wasser!C18</f>
        <v>280.98476078169386</v>
      </c>
      <c r="D40" s="104">
        <f>Wasser!D18</f>
        <v>201.55644466252232</v>
      </c>
      <c r="E40" s="104">
        <f>Wasser!E18</f>
        <v>241.27060272210809</v>
      </c>
      <c r="F40" s="104">
        <f>Wasser!F18</f>
        <v>280.98476078169386</v>
      </c>
      <c r="G40" s="104">
        <f>Wasser!G18</f>
        <v>430.67479659840569</v>
      </c>
      <c r="H40" s="104">
        <f>Wasser!H18</f>
        <v>612.49204421834168</v>
      </c>
      <c r="I40" s="104">
        <f>Wasser!I18</f>
        <v>851.37632238868207</v>
      </c>
      <c r="J40" s="104">
        <f>Wasser!J18</f>
        <v>1051.9411801228948</v>
      </c>
      <c r="K40" s="100"/>
      <c r="L40" s="101"/>
      <c r="M40" s="102"/>
      <c r="N40" s="102"/>
    </row>
    <row r="41" spans="1:14" ht="15" customHeight="1" x14ac:dyDescent="0.25">
      <c r="A41" s="103" t="s">
        <v>104</v>
      </c>
      <c r="B41" s="359" t="s">
        <v>105</v>
      </c>
      <c r="C41" s="105">
        <v>10</v>
      </c>
      <c r="D41" s="104">
        <v>10</v>
      </c>
      <c r="E41" s="104">
        <v>10</v>
      </c>
      <c r="F41" s="104">
        <v>10</v>
      </c>
      <c r="G41" s="104">
        <v>10</v>
      </c>
      <c r="H41" s="104">
        <v>10</v>
      </c>
      <c r="I41" s="104">
        <v>10</v>
      </c>
      <c r="J41" s="104">
        <v>10</v>
      </c>
      <c r="K41" s="100"/>
      <c r="L41" s="101"/>
      <c r="M41" s="102"/>
      <c r="N41" s="102"/>
    </row>
    <row r="42" spans="1:14" ht="15" customHeight="1" x14ac:dyDescent="0.25">
      <c r="A42" s="103" t="s">
        <v>109</v>
      </c>
      <c r="B42" s="359" t="s">
        <v>105</v>
      </c>
      <c r="C42" s="105">
        <v>85</v>
      </c>
      <c r="D42" s="104">
        <v>85</v>
      </c>
      <c r="E42" s="104">
        <v>85</v>
      </c>
      <c r="F42" s="104">
        <v>85</v>
      </c>
      <c r="G42" s="104">
        <v>85</v>
      </c>
      <c r="H42" s="104">
        <v>85</v>
      </c>
      <c r="I42" s="104">
        <v>85</v>
      </c>
      <c r="J42" s="104">
        <v>85</v>
      </c>
      <c r="K42" s="100"/>
      <c r="L42" s="101"/>
      <c r="M42" s="102"/>
      <c r="N42" s="102"/>
    </row>
    <row r="43" spans="1:14" ht="15" customHeight="1" x14ac:dyDescent="0.25">
      <c r="A43" s="103" t="s">
        <v>108</v>
      </c>
      <c r="B43" s="359" t="s">
        <v>206</v>
      </c>
      <c r="C43" s="106">
        <f t="shared" ref="C43:J43" si="25">(C42-C41)*C40*$C$129</f>
        <v>24.508895759183247</v>
      </c>
      <c r="D43" s="68">
        <f t="shared" si="25"/>
        <v>17.580760885688509</v>
      </c>
      <c r="E43" s="68">
        <f t="shared" si="25"/>
        <v>21.04482832243588</v>
      </c>
      <c r="F43" s="68">
        <f t="shared" si="25"/>
        <v>24.508895759183247</v>
      </c>
      <c r="G43" s="68">
        <f t="shared" si="25"/>
        <v>37.565609133295936</v>
      </c>
      <c r="H43" s="68">
        <f t="shared" si="25"/>
        <v>53.42461855694485</v>
      </c>
      <c r="I43" s="68">
        <f t="shared" si="25"/>
        <v>74.261299720352795</v>
      </c>
      <c r="J43" s="68">
        <f t="shared" si="25"/>
        <v>91.755569436219488</v>
      </c>
      <c r="K43" s="100"/>
      <c r="L43" s="101"/>
      <c r="M43" s="102"/>
      <c r="N43" s="102"/>
    </row>
    <row r="44" spans="1:14" ht="15" customHeight="1" x14ac:dyDescent="0.25">
      <c r="A44" s="107" t="s">
        <v>207</v>
      </c>
      <c r="B44" s="360" t="s">
        <v>208</v>
      </c>
      <c r="C44" s="108">
        <f>'Melkkar und Herde'!C17</f>
        <v>2</v>
      </c>
      <c r="D44" s="77">
        <f>'Melkkar und Herde'!D17</f>
        <v>2</v>
      </c>
      <c r="E44" s="77">
        <f>'Melkkar und Herde'!E17</f>
        <v>2</v>
      </c>
      <c r="F44" s="77">
        <f>'Melkkar und Herde'!F17</f>
        <v>2</v>
      </c>
      <c r="G44" s="77">
        <f>'Melkkar und Herde'!G17</f>
        <v>2</v>
      </c>
      <c r="H44" s="77">
        <f>'Melkkar und Herde'!H17</f>
        <v>2</v>
      </c>
      <c r="I44" s="77">
        <f>'Melkkar und Herde'!I17</f>
        <v>2</v>
      </c>
      <c r="J44" s="77">
        <f>'Melkkar und Herde'!J17</f>
        <v>2</v>
      </c>
      <c r="K44" s="100"/>
      <c r="L44" s="101"/>
      <c r="M44" s="102"/>
      <c r="N44" s="102"/>
    </row>
    <row r="45" spans="1:14" ht="15" customHeight="1" x14ac:dyDescent="0.25">
      <c r="A45" s="61" t="s">
        <v>154</v>
      </c>
      <c r="B45" s="355" t="s">
        <v>17</v>
      </c>
      <c r="C45" s="78">
        <f t="shared" ref="C45:J45" si="26">C44*C43</f>
        <v>49.017791518366494</v>
      </c>
      <c r="D45" s="79">
        <f t="shared" si="26"/>
        <v>35.161521771377018</v>
      </c>
      <c r="E45" s="79">
        <f t="shared" si="26"/>
        <v>42.089656644871759</v>
      </c>
      <c r="F45" s="79">
        <f t="shared" si="26"/>
        <v>49.017791518366494</v>
      </c>
      <c r="G45" s="79">
        <f t="shared" si="26"/>
        <v>75.131218266591873</v>
      </c>
      <c r="H45" s="79">
        <f t="shared" si="26"/>
        <v>106.8492371138897</v>
      </c>
      <c r="I45" s="79">
        <f t="shared" si="26"/>
        <v>148.52259944070559</v>
      </c>
      <c r="J45" s="79">
        <f t="shared" si="26"/>
        <v>183.51113887243898</v>
      </c>
      <c r="K45" s="100"/>
      <c r="L45" s="101"/>
      <c r="M45" s="102"/>
      <c r="N45" s="102"/>
    </row>
    <row r="46" spans="1:14" ht="15" customHeight="1" x14ac:dyDescent="0.25">
      <c r="A46" s="64"/>
      <c r="B46" s="356" t="s">
        <v>102</v>
      </c>
      <c r="C46" s="80">
        <f>C45/'Melkkar und Herde'!C16</f>
        <v>5.9137519192944507E-2</v>
      </c>
      <c r="D46" s="81">
        <f>D45/'Melkkar und Herde'!D16</f>
        <v>8.4841242503911118E-2</v>
      </c>
      <c r="E46" s="81">
        <f>E45/'Melkkar und Herde'!E16</f>
        <v>5.077907022245004E-2</v>
      </c>
      <c r="F46" s="81">
        <f>F45/'Melkkar und Herde'!F16</f>
        <v>5.9137519192944507E-2</v>
      </c>
      <c r="G46" s="81">
        <f>G45/'Melkkar und Herde'!G16</f>
        <v>6.0428043568154954E-2</v>
      </c>
      <c r="H46" s="81">
        <f>H45/'Melkkar und Herde'!H16</f>
        <v>8.5938848118123787E-2</v>
      </c>
      <c r="I46" s="81">
        <f>I45/'Melkkar und Herde'!I16</f>
        <v>7.1674041632167257E-2</v>
      </c>
      <c r="J46" s="81">
        <f>J45/'Melkkar und Herde'!J16</f>
        <v>8.8558812308968907E-2</v>
      </c>
      <c r="K46" s="100"/>
      <c r="L46" s="101"/>
      <c r="M46" s="102"/>
      <c r="N46" s="102"/>
    </row>
    <row r="47" spans="1:14" ht="15" customHeight="1" x14ac:dyDescent="0.25">
      <c r="A47" s="64"/>
      <c r="B47" s="357" t="s">
        <v>204</v>
      </c>
      <c r="C47" s="82">
        <f t="shared" ref="C47:J47" si="27">C45*365/C4</f>
        <v>37.273945633757855</v>
      </c>
      <c r="D47" s="83">
        <f t="shared" si="27"/>
        <v>53.474814360635875</v>
      </c>
      <c r="E47" s="83">
        <f t="shared" si="27"/>
        <v>32.005676407037903</v>
      </c>
      <c r="F47" s="83">
        <f t="shared" si="27"/>
        <v>37.273945633757855</v>
      </c>
      <c r="G47" s="83">
        <f t="shared" si="27"/>
        <v>38.087353704591713</v>
      </c>
      <c r="H47" s="83">
        <f t="shared" si="27"/>
        <v>54.166627148013525</v>
      </c>
      <c r="I47" s="83">
        <f t="shared" si="27"/>
        <v>45.175623996547955</v>
      </c>
      <c r="J47" s="83">
        <f t="shared" si="27"/>
        <v>55.817971407033525</v>
      </c>
      <c r="K47" s="100"/>
      <c r="L47" s="101"/>
      <c r="M47" s="102"/>
      <c r="N47" s="102"/>
    </row>
    <row r="48" spans="1:14" ht="15" customHeight="1" x14ac:dyDescent="0.25">
      <c r="A48" s="75"/>
      <c r="B48" s="358" t="s">
        <v>4</v>
      </c>
      <c r="C48" s="84">
        <f t="shared" ref="C48:J48" si="28">C45/C7*1000</f>
        <v>3.7273945633757859</v>
      </c>
      <c r="D48" s="85">
        <f t="shared" si="28"/>
        <v>5.3474814360635881</v>
      </c>
      <c r="E48" s="85">
        <f t="shared" si="28"/>
        <v>3.2005676407037904</v>
      </c>
      <c r="F48" s="85">
        <f t="shared" si="28"/>
        <v>3.7273945633757859</v>
      </c>
      <c r="G48" s="85">
        <f t="shared" si="28"/>
        <v>3.8087353704591713</v>
      </c>
      <c r="H48" s="85">
        <f t="shared" si="28"/>
        <v>5.4166627148013529</v>
      </c>
      <c r="I48" s="85">
        <f t="shared" si="28"/>
        <v>4.5175623996547953</v>
      </c>
      <c r="J48" s="85">
        <f t="shared" si="28"/>
        <v>5.5817971407033529</v>
      </c>
      <c r="K48" s="100"/>
      <c r="L48" s="101"/>
      <c r="M48" s="102"/>
      <c r="N48" s="102"/>
    </row>
    <row r="49" spans="1:15" ht="6.95" customHeight="1" x14ac:dyDescent="0.25">
      <c r="A49" s="109"/>
      <c r="B49" s="361"/>
      <c r="C49" s="109"/>
      <c r="D49" s="109"/>
      <c r="E49" s="110"/>
      <c r="F49" s="110"/>
      <c r="G49" s="110"/>
      <c r="H49" s="110"/>
      <c r="I49" s="110"/>
      <c r="J49" s="110"/>
      <c r="K49" s="100"/>
      <c r="L49" s="101"/>
      <c r="M49" s="102"/>
      <c r="N49" s="102"/>
    </row>
    <row r="50" spans="1:15" s="60" customFormat="1" ht="18" customHeight="1" x14ac:dyDescent="0.2">
      <c r="A50" s="57" t="s">
        <v>210</v>
      </c>
      <c r="B50" s="350"/>
      <c r="C50" s="58"/>
      <c r="D50" s="58"/>
      <c r="E50" s="58"/>
      <c r="F50" s="58"/>
      <c r="G50" s="58"/>
      <c r="H50" s="58"/>
      <c r="I50" s="58"/>
      <c r="J50" s="59"/>
    </row>
    <row r="51" spans="1:15" ht="15" customHeight="1" x14ac:dyDescent="0.25">
      <c r="A51" s="111" t="s">
        <v>1</v>
      </c>
      <c r="B51" s="355"/>
      <c r="C51" s="86">
        <f>Energie!C10</f>
        <v>28</v>
      </c>
      <c r="D51" s="87">
        <f>Energie!D10</f>
        <v>20</v>
      </c>
      <c r="E51" s="87">
        <f>Energie!E10</f>
        <v>24</v>
      </c>
      <c r="F51" s="87">
        <f>Energie!F10</f>
        <v>28</v>
      </c>
      <c r="G51" s="87">
        <f>Energie!G10</f>
        <v>36</v>
      </c>
      <c r="H51" s="87">
        <f>Energie!H10</f>
        <v>48</v>
      </c>
      <c r="I51" s="87">
        <f>Energie!I10</f>
        <v>60</v>
      </c>
      <c r="J51" s="87">
        <f>Energie!J10</f>
        <v>72</v>
      </c>
      <c r="K51" s="102"/>
      <c r="L51" s="102"/>
    </row>
    <row r="52" spans="1:15" ht="15" customHeight="1" x14ac:dyDescent="0.25">
      <c r="A52" s="103" t="s">
        <v>211</v>
      </c>
      <c r="B52" s="352" t="s">
        <v>212</v>
      </c>
      <c r="C52" s="69">
        <v>80</v>
      </c>
      <c r="D52" s="70">
        <v>80</v>
      </c>
      <c r="E52" s="70">
        <v>80</v>
      </c>
      <c r="F52" s="70">
        <v>80</v>
      </c>
      <c r="G52" s="70">
        <v>80</v>
      </c>
      <c r="H52" s="70">
        <v>80</v>
      </c>
      <c r="I52" s="70">
        <v>80</v>
      </c>
      <c r="J52" s="70">
        <v>80</v>
      </c>
      <c r="K52" s="102"/>
      <c r="L52" s="102"/>
    </row>
    <row r="53" spans="1:15" ht="15" customHeight="1" x14ac:dyDescent="0.25">
      <c r="A53" s="103" t="s">
        <v>40</v>
      </c>
      <c r="B53" s="352" t="s">
        <v>41</v>
      </c>
      <c r="C53" s="106">
        <f t="shared" ref="C53" si="29">C52*C51/1000</f>
        <v>2.2400000000000002</v>
      </c>
      <c r="D53" s="68">
        <f t="shared" ref="D53:E53" si="30">D52*D51/1000</f>
        <v>1.6</v>
      </c>
      <c r="E53" s="68">
        <f t="shared" si="30"/>
        <v>1.92</v>
      </c>
      <c r="F53" s="68">
        <f t="shared" ref="F53:J53" si="31">F52*F51/1000</f>
        <v>2.2400000000000002</v>
      </c>
      <c r="G53" s="68">
        <f t="shared" si="31"/>
        <v>2.88</v>
      </c>
      <c r="H53" s="68">
        <f t="shared" si="31"/>
        <v>3.84</v>
      </c>
      <c r="I53" s="68">
        <f t="shared" si="31"/>
        <v>4.8</v>
      </c>
      <c r="J53" s="68">
        <f t="shared" si="31"/>
        <v>5.76</v>
      </c>
      <c r="K53" s="102"/>
      <c r="L53" s="102"/>
    </row>
    <row r="54" spans="1:15" ht="15" customHeight="1" x14ac:dyDescent="0.25">
      <c r="A54" s="107" t="s">
        <v>110</v>
      </c>
      <c r="B54" s="360" t="s">
        <v>6</v>
      </c>
      <c r="C54" s="112">
        <f>AKh!C72*2</f>
        <v>13.153333333333332</v>
      </c>
      <c r="D54" s="99">
        <f>AKh!D72*2</f>
        <v>7.7399999999999993</v>
      </c>
      <c r="E54" s="99">
        <f>AKh!E72*2</f>
        <v>13.28</v>
      </c>
      <c r="F54" s="99">
        <f>AKh!F72*2</f>
        <v>13.153333333333332</v>
      </c>
      <c r="G54" s="99">
        <f>AKh!G72*2</f>
        <v>9.6273333333333344</v>
      </c>
      <c r="H54" s="99">
        <f>AKh!H72*2</f>
        <v>7.3093333333333339</v>
      </c>
      <c r="I54" s="99">
        <f>AKh!I72*2</f>
        <v>7.6911111111111108</v>
      </c>
      <c r="J54" s="99">
        <f>AKh!J72*2</f>
        <v>8.0044444444444434</v>
      </c>
      <c r="K54" s="102"/>
      <c r="L54" s="102"/>
    </row>
    <row r="55" spans="1:15" ht="15" customHeight="1" x14ac:dyDescent="0.25">
      <c r="A55" s="61" t="s">
        <v>154</v>
      </c>
      <c r="B55" s="355" t="s">
        <v>17</v>
      </c>
      <c r="C55" s="78">
        <f t="shared" ref="C55" si="32">C54*C53</f>
        <v>29.463466666666669</v>
      </c>
      <c r="D55" s="79">
        <f t="shared" ref="D55:E55" si="33">D54*D53</f>
        <v>12.384</v>
      </c>
      <c r="E55" s="79">
        <f t="shared" si="33"/>
        <v>25.497599999999998</v>
      </c>
      <c r="F55" s="79">
        <f t="shared" ref="F55:J55" si="34">F54*F53</f>
        <v>29.463466666666669</v>
      </c>
      <c r="G55" s="79">
        <f t="shared" si="34"/>
        <v>27.726720000000004</v>
      </c>
      <c r="H55" s="79">
        <f t="shared" si="34"/>
        <v>28.06784</v>
      </c>
      <c r="I55" s="79">
        <f t="shared" si="34"/>
        <v>36.917333333333332</v>
      </c>
      <c r="J55" s="79">
        <f t="shared" si="34"/>
        <v>46.105599999999995</v>
      </c>
      <c r="K55" s="102"/>
      <c r="L55" s="102"/>
    </row>
    <row r="56" spans="1:15" ht="15" customHeight="1" x14ac:dyDescent="0.25">
      <c r="A56" s="64"/>
      <c r="B56" s="356" t="s">
        <v>102</v>
      </c>
      <c r="C56" s="113">
        <f>C55/'Melkkar und Herde'!C16</f>
        <v>3.5546202134337727E-2</v>
      </c>
      <c r="D56" s="114">
        <f>D55/'Melkkar und Herde'!D16</f>
        <v>2.9881355932203389E-2</v>
      </c>
      <c r="E56" s="114">
        <f>E55/'Melkkar und Herde'!E16</f>
        <v>3.0761581920903953E-2</v>
      </c>
      <c r="F56" s="114">
        <f>F55/'Melkkar und Herde'!F16</f>
        <v>3.5546202134337727E-2</v>
      </c>
      <c r="G56" s="114">
        <f>G55/'Melkkar und Herde'!G16</f>
        <v>2.2300602636534845E-2</v>
      </c>
      <c r="H56" s="114">
        <f>H55/'Melkkar und Herde'!H16</f>
        <v>2.2574965473948525E-2</v>
      </c>
      <c r="I56" s="114">
        <f>I55/'Melkkar und Herde'!I16</f>
        <v>1.7815568110483366E-2</v>
      </c>
      <c r="J56" s="114">
        <f>J55/'Melkkar und Herde'!J16</f>
        <v>2.2249642184557439E-2</v>
      </c>
      <c r="K56" s="102"/>
      <c r="L56" s="102"/>
    </row>
    <row r="57" spans="1:15" ht="15" customHeight="1" x14ac:dyDescent="0.25">
      <c r="A57" s="64"/>
      <c r="B57" s="357" t="s">
        <v>204</v>
      </c>
      <c r="C57" s="82">
        <f t="shared" ref="C57:J57" si="35">C55*365/C4</f>
        <v>22.404511111111113</v>
      </c>
      <c r="D57" s="83">
        <f t="shared" si="35"/>
        <v>18.834</v>
      </c>
      <c r="E57" s="83">
        <f t="shared" si="35"/>
        <v>19.3888</v>
      </c>
      <c r="F57" s="83">
        <f t="shared" si="35"/>
        <v>22.404511111111113</v>
      </c>
      <c r="G57" s="83">
        <f t="shared" si="35"/>
        <v>14.055906666666669</v>
      </c>
      <c r="H57" s="83">
        <f t="shared" si="35"/>
        <v>14.228835555555555</v>
      </c>
      <c r="I57" s="83">
        <f t="shared" si="35"/>
        <v>11.229022222222222</v>
      </c>
      <c r="J57" s="83">
        <f t="shared" si="35"/>
        <v>14.023786666666664</v>
      </c>
      <c r="K57" s="102"/>
      <c r="L57" s="102"/>
    </row>
    <row r="58" spans="1:15" ht="15" customHeight="1" x14ac:dyDescent="0.25">
      <c r="A58" s="75"/>
      <c r="B58" s="358" t="s">
        <v>4</v>
      </c>
      <c r="C58" s="98">
        <f t="shared" ref="C58:J58" si="36">C55/C7*1000</f>
        <v>2.2404511111111112</v>
      </c>
      <c r="D58" s="99">
        <f t="shared" si="36"/>
        <v>1.8834000000000002</v>
      </c>
      <c r="E58" s="99">
        <f t="shared" si="36"/>
        <v>1.9388799999999999</v>
      </c>
      <c r="F58" s="99">
        <f t="shared" si="36"/>
        <v>2.2404511111111112</v>
      </c>
      <c r="G58" s="99">
        <f t="shared" si="36"/>
        <v>1.4055906666666669</v>
      </c>
      <c r="H58" s="99">
        <f t="shared" si="36"/>
        <v>1.4228835555555555</v>
      </c>
      <c r="I58" s="99">
        <f t="shared" si="36"/>
        <v>1.1229022222222222</v>
      </c>
      <c r="J58" s="99">
        <f t="shared" si="36"/>
        <v>1.4023786666666667</v>
      </c>
      <c r="K58" s="102"/>
      <c r="L58" s="102"/>
    </row>
    <row r="59" spans="1:15" ht="6.95" customHeight="1" x14ac:dyDescent="0.25"/>
    <row r="60" spans="1:15" s="60" customFormat="1" ht="18" customHeight="1" x14ac:dyDescent="0.2">
      <c r="A60" s="57" t="s">
        <v>214</v>
      </c>
      <c r="B60" s="350"/>
      <c r="C60" s="58"/>
      <c r="D60" s="58"/>
      <c r="E60" s="58"/>
      <c r="F60" s="58"/>
      <c r="G60" s="58"/>
      <c r="H60" s="58"/>
      <c r="I60" s="58"/>
      <c r="J60" s="59"/>
    </row>
    <row r="61" spans="1:15" ht="15" customHeight="1" x14ac:dyDescent="0.25">
      <c r="A61" s="111" t="s">
        <v>94</v>
      </c>
      <c r="B61" s="362" t="s">
        <v>111</v>
      </c>
      <c r="C61" s="115">
        <f>'Melkkar und Herde'!C16</f>
        <v>828.8780487804878</v>
      </c>
      <c r="D61" s="116">
        <f>'Melkkar und Herde'!D16</f>
        <v>414.4390243902439</v>
      </c>
      <c r="E61" s="116">
        <f>'Melkkar und Herde'!E16</f>
        <v>828.8780487804878</v>
      </c>
      <c r="F61" s="116">
        <f>'Melkkar und Herde'!F16</f>
        <v>828.8780487804878</v>
      </c>
      <c r="G61" s="116">
        <f>'Melkkar und Herde'!G16</f>
        <v>1243.3170731707316</v>
      </c>
      <c r="H61" s="116">
        <f>'Melkkar und Herde'!H16</f>
        <v>1243.3170731707316</v>
      </c>
      <c r="I61" s="116">
        <f>'Melkkar und Herde'!I16</f>
        <v>2072.1951219512193</v>
      </c>
      <c r="J61" s="116">
        <f>'Melkkar und Herde'!J16</f>
        <v>2072.1951219512193</v>
      </c>
    </row>
    <row r="62" spans="1:15" ht="15" customHeight="1" x14ac:dyDescent="0.25">
      <c r="A62" s="107" t="s">
        <v>45</v>
      </c>
      <c r="B62" s="354" t="s">
        <v>213</v>
      </c>
      <c r="C62" s="76">
        <v>20</v>
      </c>
      <c r="D62" s="77">
        <v>20</v>
      </c>
      <c r="E62" s="77">
        <v>20</v>
      </c>
      <c r="F62" s="77">
        <v>20</v>
      </c>
      <c r="G62" s="77">
        <v>20</v>
      </c>
      <c r="H62" s="77">
        <v>20</v>
      </c>
      <c r="I62" s="77">
        <v>20</v>
      </c>
      <c r="J62" s="77">
        <v>20</v>
      </c>
      <c r="K62" s="117"/>
      <c r="L62" s="117"/>
      <c r="M62" s="117"/>
      <c r="N62" s="117"/>
      <c r="O62" s="117"/>
    </row>
    <row r="63" spans="1:15" ht="15" customHeight="1" x14ac:dyDescent="0.25">
      <c r="A63" s="61" t="s">
        <v>154</v>
      </c>
      <c r="B63" s="355" t="s">
        <v>17</v>
      </c>
      <c r="C63" s="78">
        <f t="shared" ref="C63" si="37">C62*C61/1000</f>
        <v>16.577560975609753</v>
      </c>
      <c r="D63" s="79">
        <f t="shared" ref="D63:E63" si="38">D62*D61/1000</f>
        <v>8.2887804878048765</v>
      </c>
      <c r="E63" s="79">
        <f t="shared" si="38"/>
        <v>16.577560975609753</v>
      </c>
      <c r="F63" s="79">
        <f t="shared" ref="F63:J63" si="39">F62*F61/1000</f>
        <v>16.577560975609753</v>
      </c>
      <c r="G63" s="79">
        <f t="shared" si="39"/>
        <v>24.866341463414631</v>
      </c>
      <c r="H63" s="79">
        <f t="shared" si="39"/>
        <v>24.866341463414631</v>
      </c>
      <c r="I63" s="79">
        <f t="shared" si="39"/>
        <v>41.443902439024384</v>
      </c>
      <c r="J63" s="79">
        <f t="shared" si="39"/>
        <v>41.443902439024384</v>
      </c>
    </row>
    <row r="64" spans="1:15" ht="15" customHeight="1" x14ac:dyDescent="0.25">
      <c r="A64" s="64"/>
      <c r="B64" s="356" t="s">
        <v>102</v>
      </c>
      <c r="C64" s="113">
        <f>C63/'Melkkar und Herde'!C16</f>
        <v>1.9999999999999997E-2</v>
      </c>
      <c r="D64" s="114">
        <f>D63/'Melkkar und Herde'!D16</f>
        <v>1.9999999999999997E-2</v>
      </c>
      <c r="E64" s="114">
        <f>E63/'Melkkar und Herde'!E16</f>
        <v>1.9999999999999997E-2</v>
      </c>
      <c r="F64" s="114">
        <f>F63/'Melkkar und Herde'!F16</f>
        <v>1.9999999999999997E-2</v>
      </c>
      <c r="G64" s="114">
        <f>G63/'Melkkar und Herde'!G16</f>
        <v>0.02</v>
      </c>
      <c r="H64" s="114">
        <f>H63/'Melkkar und Herde'!H16</f>
        <v>0.02</v>
      </c>
      <c r="I64" s="114">
        <f>I63/'Melkkar und Herde'!I16</f>
        <v>0.02</v>
      </c>
      <c r="J64" s="114">
        <f>J63/'Melkkar und Herde'!J16</f>
        <v>0.02</v>
      </c>
    </row>
    <row r="65" spans="1:14" ht="15" customHeight="1" x14ac:dyDescent="0.25">
      <c r="A65" s="64"/>
      <c r="B65" s="357" t="s">
        <v>204</v>
      </c>
      <c r="C65" s="82">
        <f t="shared" ref="C65:J65" si="40">C63*365/C4</f>
        <v>12.605853658536583</v>
      </c>
      <c r="D65" s="83">
        <f t="shared" si="40"/>
        <v>12.605853658536583</v>
      </c>
      <c r="E65" s="83">
        <f t="shared" si="40"/>
        <v>12.605853658536583</v>
      </c>
      <c r="F65" s="83">
        <f t="shared" si="40"/>
        <v>12.605853658536583</v>
      </c>
      <c r="G65" s="83">
        <f t="shared" si="40"/>
        <v>12.605853658536585</v>
      </c>
      <c r="H65" s="83">
        <f t="shared" si="40"/>
        <v>12.605853658536585</v>
      </c>
      <c r="I65" s="83">
        <f t="shared" si="40"/>
        <v>12.605853658536583</v>
      </c>
      <c r="J65" s="83">
        <f t="shared" si="40"/>
        <v>12.605853658536583</v>
      </c>
    </row>
    <row r="66" spans="1:14" ht="15" customHeight="1" x14ac:dyDescent="0.25">
      <c r="A66" s="75"/>
      <c r="B66" s="358" t="s">
        <v>4</v>
      </c>
      <c r="C66" s="98">
        <f t="shared" ref="C66:J66" si="41">C63/C7*1000</f>
        <v>1.2605853658536583</v>
      </c>
      <c r="D66" s="99">
        <f t="shared" si="41"/>
        <v>1.2605853658536583</v>
      </c>
      <c r="E66" s="99">
        <f t="shared" si="41"/>
        <v>1.2605853658536583</v>
      </c>
      <c r="F66" s="99">
        <f t="shared" si="41"/>
        <v>1.2605853658536583</v>
      </c>
      <c r="G66" s="99">
        <f t="shared" si="41"/>
        <v>1.2605853658536583</v>
      </c>
      <c r="H66" s="99">
        <f t="shared" si="41"/>
        <v>1.2605853658536583</v>
      </c>
      <c r="I66" s="99">
        <f t="shared" si="41"/>
        <v>1.2605853658536583</v>
      </c>
      <c r="J66" s="99">
        <f t="shared" si="41"/>
        <v>1.2605853658536583</v>
      </c>
    </row>
    <row r="67" spans="1:14" ht="6.95" customHeight="1" x14ac:dyDescent="0.25"/>
    <row r="68" spans="1:14" s="60" customFormat="1" ht="18" customHeight="1" x14ac:dyDescent="0.2">
      <c r="A68" s="57" t="s">
        <v>149</v>
      </c>
      <c r="B68" s="350"/>
      <c r="C68" s="58"/>
      <c r="D68" s="58"/>
      <c r="E68" s="58"/>
      <c r="F68" s="58"/>
      <c r="G68" s="58"/>
      <c r="H68" s="58"/>
      <c r="I68" s="58"/>
      <c r="J68" s="59"/>
    </row>
    <row r="69" spans="1:14" ht="15" customHeight="1" x14ac:dyDescent="0.25">
      <c r="A69" s="111" t="s">
        <v>114</v>
      </c>
      <c r="B69" s="362" t="s">
        <v>6</v>
      </c>
      <c r="C69" s="118">
        <f>AKh!C50*2</f>
        <v>10.359999999999998</v>
      </c>
      <c r="D69" s="79">
        <f>AKh!D50*2</f>
        <v>5.5733333333333333</v>
      </c>
      <c r="E69" s="79">
        <f>AKh!E50*2</f>
        <v>10.8</v>
      </c>
      <c r="F69" s="79">
        <f>AKh!F50*2</f>
        <v>10.359999999999998</v>
      </c>
      <c r="G69" s="79">
        <f>AKh!G50*2</f>
        <v>7.8840000000000003</v>
      </c>
      <c r="H69" s="79">
        <f>AKh!H50*2</f>
        <v>5.096000000000001</v>
      </c>
      <c r="I69" s="79">
        <f>AKh!I50*2</f>
        <v>5.879999999999999</v>
      </c>
      <c r="J69" s="79">
        <f>AKh!J50*2</f>
        <v>5.88</v>
      </c>
    </row>
    <row r="70" spans="1:14" ht="15" customHeight="1" x14ac:dyDescent="0.25">
      <c r="A70" s="119" t="s">
        <v>112</v>
      </c>
      <c r="B70" s="363" t="s">
        <v>10</v>
      </c>
      <c r="C70" s="120">
        <f>AKh!C27/AKh!C28%</f>
        <v>33.783783783783782</v>
      </c>
      <c r="D70" s="94">
        <f>AKh!D27/AKh!D28%</f>
        <v>35.526315789473685</v>
      </c>
      <c r="E70" s="94">
        <f>AKh!E27/AKh!E28%</f>
        <v>34.666666666666671</v>
      </c>
      <c r="F70" s="94">
        <f>AKh!F27/AKh!F28%</f>
        <v>33.783783783783782</v>
      </c>
      <c r="G70" s="94">
        <f>AKh!G27/AKh!G28%</f>
        <v>32.87671232876712</v>
      </c>
      <c r="H70" s="94">
        <f>AKh!H27/AKh!H28%</f>
        <v>24.489795918367346</v>
      </c>
      <c r="I70" s="94">
        <f>AKh!I27/AKh!I28%</f>
        <v>24.489795918367346</v>
      </c>
      <c r="J70" s="94">
        <f>AKh!J27/AKh!J28%</f>
        <v>24.489795918367346</v>
      </c>
    </row>
    <row r="71" spans="1:14" ht="15" customHeight="1" x14ac:dyDescent="0.25">
      <c r="A71" s="119" t="s">
        <v>115</v>
      </c>
      <c r="B71" s="363" t="s">
        <v>6</v>
      </c>
      <c r="C71" s="121">
        <f t="shared" ref="C71" si="42">C69-(C69*C70%)</f>
        <v>6.8599999999999985</v>
      </c>
      <c r="D71" s="122">
        <f>D69-(D69*D70%)</f>
        <v>3.5933333333333333</v>
      </c>
      <c r="E71" s="122">
        <f t="shared" ref="E71:J71" si="43">E69-(E69*E70%)</f>
        <v>7.0559999999999992</v>
      </c>
      <c r="F71" s="122">
        <f t="shared" si="43"/>
        <v>6.8599999999999985</v>
      </c>
      <c r="G71" s="122">
        <f t="shared" si="43"/>
        <v>5.2919999999999998</v>
      </c>
      <c r="H71" s="122">
        <f t="shared" si="43"/>
        <v>3.8480000000000008</v>
      </c>
      <c r="I71" s="122">
        <f t="shared" si="43"/>
        <v>4.4399999999999995</v>
      </c>
      <c r="J71" s="122">
        <f t="shared" si="43"/>
        <v>4.4399999999999995</v>
      </c>
    </row>
    <row r="72" spans="1:14" ht="15" customHeight="1" x14ac:dyDescent="0.25">
      <c r="A72" s="123" t="s">
        <v>113</v>
      </c>
      <c r="B72" s="364" t="s">
        <v>41</v>
      </c>
      <c r="C72" s="124">
        <v>0.4</v>
      </c>
      <c r="D72" s="125">
        <v>0.4</v>
      </c>
      <c r="E72" s="125">
        <v>0.4</v>
      </c>
      <c r="F72" s="125">
        <v>0.4</v>
      </c>
      <c r="G72" s="125">
        <v>0.4</v>
      </c>
      <c r="H72" s="125">
        <v>0.4</v>
      </c>
      <c r="I72" s="125">
        <v>0.4</v>
      </c>
      <c r="J72" s="125">
        <v>0.4</v>
      </c>
    </row>
    <row r="73" spans="1:14" ht="15" customHeight="1" x14ac:dyDescent="0.25">
      <c r="A73" s="61" t="s">
        <v>154</v>
      </c>
      <c r="B73" s="355" t="s">
        <v>17</v>
      </c>
      <c r="C73" s="78">
        <f t="shared" ref="C73" si="44">C72*C71</f>
        <v>2.7439999999999998</v>
      </c>
      <c r="D73" s="79">
        <f t="shared" ref="D73:E73" si="45">D72*D71</f>
        <v>1.4373333333333334</v>
      </c>
      <c r="E73" s="79">
        <f t="shared" si="45"/>
        <v>2.8224</v>
      </c>
      <c r="F73" s="79">
        <f t="shared" ref="F73:J73" si="46">F72*F71</f>
        <v>2.7439999999999998</v>
      </c>
      <c r="G73" s="79">
        <f t="shared" si="46"/>
        <v>2.1168</v>
      </c>
      <c r="H73" s="79">
        <f t="shared" si="46"/>
        <v>1.5392000000000003</v>
      </c>
      <c r="I73" s="79">
        <f t="shared" si="46"/>
        <v>1.7759999999999998</v>
      </c>
      <c r="J73" s="79">
        <f t="shared" si="46"/>
        <v>1.7759999999999998</v>
      </c>
    </row>
    <row r="74" spans="1:14" ht="15" customHeight="1" x14ac:dyDescent="0.25">
      <c r="A74" s="64"/>
      <c r="B74" s="356" t="s">
        <v>102</v>
      </c>
      <c r="C74" s="113">
        <f>C73/'Melkkar und Herde'!C$16</f>
        <v>3.310499058380414E-3</v>
      </c>
      <c r="D74" s="114">
        <f>D73/'Melkkar und Herde'!D$16</f>
        <v>3.4681418706842436E-3</v>
      </c>
      <c r="E74" s="114">
        <f>E73/'Melkkar und Herde'!E$16</f>
        <v>3.4050847457627121E-3</v>
      </c>
      <c r="F74" s="114">
        <f>F73/'Melkkar und Herde'!F$16</f>
        <v>3.310499058380414E-3</v>
      </c>
      <c r="G74" s="114">
        <f>G73/'Melkkar und Herde'!G$16</f>
        <v>1.702542372881356E-3</v>
      </c>
      <c r="H74" s="114">
        <f>H73/'Melkkar und Herde'!H$16</f>
        <v>1.2379786566227248E-3</v>
      </c>
      <c r="I74" s="114">
        <f>I73/'Melkkar und Herde'!I$16</f>
        <v>8.5706214689265539E-4</v>
      </c>
      <c r="J74" s="114">
        <f>J73/'Melkkar und Herde'!J$16</f>
        <v>8.5706214689265539E-4</v>
      </c>
    </row>
    <row r="75" spans="1:14" ht="15" customHeight="1" x14ac:dyDescent="0.25">
      <c r="A75" s="64"/>
      <c r="B75" s="357" t="s">
        <v>204</v>
      </c>
      <c r="C75" s="82">
        <f t="shared" ref="C75:J75" si="47">C73*365/C4</f>
        <v>2.086583333333333</v>
      </c>
      <c r="D75" s="83">
        <f t="shared" si="47"/>
        <v>2.1859444444444445</v>
      </c>
      <c r="E75" s="83">
        <f t="shared" si="47"/>
        <v>2.1461999999999999</v>
      </c>
      <c r="F75" s="83">
        <f t="shared" si="47"/>
        <v>2.086583333333333</v>
      </c>
      <c r="G75" s="83">
        <f t="shared" si="47"/>
        <v>1.0731000000000002</v>
      </c>
      <c r="H75" s="83">
        <f t="shared" si="47"/>
        <v>0.78028888888888903</v>
      </c>
      <c r="I75" s="83">
        <f t="shared" si="47"/>
        <v>0.5401999999999999</v>
      </c>
      <c r="J75" s="83">
        <f t="shared" si="47"/>
        <v>0.5401999999999999</v>
      </c>
    </row>
    <row r="76" spans="1:14" ht="15" customHeight="1" x14ac:dyDescent="0.25">
      <c r="A76" s="75"/>
      <c r="B76" s="358" t="s">
        <v>4</v>
      </c>
      <c r="C76" s="98">
        <f t="shared" ref="C76" si="48">C73/C$7*1000</f>
        <v>0.20865833333333333</v>
      </c>
      <c r="D76" s="99">
        <f t="shared" ref="D76:E76" si="49">D73/D$7*1000</f>
        <v>0.21859444444444445</v>
      </c>
      <c r="E76" s="99">
        <f t="shared" si="49"/>
        <v>0.21462000000000003</v>
      </c>
      <c r="F76" s="99">
        <f t="shared" ref="F76:J76" si="50">F73/F$7*1000</f>
        <v>0.20865833333333333</v>
      </c>
      <c r="G76" s="99">
        <f t="shared" si="50"/>
        <v>0.10731</v>
      </c>
      <c r="H76" s="99">
        <f t="shared" si="50"/>
        <v>7.8028888888888912E-2</v>
      </c>
      <c r="I76" s="99">
        <f t="shared" si="50"/>
        <v>5.4019999999999999E-2</v>
      </c>
      <c r="J76" s="99">
        <f t="shared" si="50"/>
        <v>5.4019999999999999E-2</v>
      </c>
    </row>
    <row r="77" spans="1:14" ht="6.95" customHeight="1" x14ac:dyDescent="0.25"/>
    <row r="78" spans="1:14" s="60" customFormat="1" ht="18" customHeight="1" x14ac:dyDescent="0.2">
      <c r="A78" s="57" t="s">
        <v>215</v>
      </c>
      <c r="B78" s="350"/>
      <c r="C78" s="58"/>
      <c r="D78" s="58"/>
      <c r="E78" s="58"/>
      <c r="F78" s="58"/>
      <c r="G78" s="58"/>
      <c r="H78" s="58"/>
      <c r="I78" s="58"/>
      <c r="J78" s="59"/>
    </row>
    <row r="79" spans="1:14" ht="15" customHeight="1" x14ac:dyDescent="0.25">
      <c r="A79" s="103" t="s">
        <v>7</v>
      </c>
      <c r="B79" s="359" t="s">
        <v>97</v>
      </c>
      <c r="C79" s="126">
        <f>Wasser!C25</f>
        <v>414.4390243902439</v>
      </c>
      <c r="D79" s="104">
        <f>Wasser!D25</f>
        <v>207.21951219512195</v>
      </c>
      <c r="E79" s="104">
        <f>Wasser!E25</f>
        <v>414.4390243902439</v>
      </c>
      <c r="F79" s="104">
        <f>Wasser!F25</f>
        <v>414.4390243902439</v>
      </c>
      <c r="G79" s="104">
        <f>Wasser!G25</f>
        <v>621.65853658536582</v>
      </c>
      <c r="H79" s="104">
        <f>Wasser!H25</f>
        <v>621.65853658536582</v>
      </c>
      <c r="I79" s="104">
        <f>Wasser!I25</f>
        <v>1036.0975609756097</v>
      </c>
      <c r="J79" s="104">
        <f>Wasser!J25</f>
        <v>1036.0975609756097</v>
      </c>
      <c r="K79" s="100"/>
      <c r="L79" s="101"/>
      <c r="M79" s="102"/>
      <c r="N79" s="102"/>
    </row>
    <row r="80" spans="1:14" ht="15" customHeight="1" x14ac:dyDescent="0.25">
      <c r="A80" s="103" t="s">
        <v>104</v>
      </c>
      <c r="B80" s="359" t="s">
        <v>105</v>
      </c>
      <c r="C80" s="105">
        <v>10</v>
      </c>
      <c r="D80" s="104">
        <v>10</v>
      </c>
      <c r="E80" s="104">
        <v>10</v>
      </c>
      <c r="F80" s="104">
        <v>10</v>
      </c>
      <c r="G80" s="104">
        <v>10</v>
      </c>
      <c r="H80" s="104">
        <v>10</v>
      </c>
      <c r="I80" s="104">
        <v>10</v>
      </c>
      <c r="J80" s="104">
        <v>10</v>
      </c>
      <c r="K80" s="100"/>
      <c r="L80" s="101"/>
      <c r="M80" s="102"/>
      <c r="N80" s="102"/>
    </row>
    <row r="81" spans="1:14" ht="15" customHeight="1" x14ac:dyDescent="0.25">
      <c r="A81" s="107" t="s">
        <v>120</v>
      </c>
      <c r="B81" s="365" t="s">
        <v>105</v>
      </c>
      <c r="C81" s="127">
        <v>37</v>
      </c>
      <c r="D81" s="128">
        <v>37</v>
      </c>
      <c r="E81" s="128">
        <v>37</v>
      </c>
      <c r="F81" s="128">
        <v>37</v>
      </c>
      <c r="G81" s="128">
        <v>37</v>
      </c>
      <c r="H81" s="128">
        <v>37</v>
      </c>
      <c r="I81" s="128">
        <v>37</v>
      </c>
      <c r="J81" s="128">
        <v>37</v>
      </c>
      <c r="K81" s="100"/>
      <c r="L81" s="101"/>
      <c r="M81" s="102"/>
      <c r="N81" s="102"/>
    </row>
    <row r="82" spans="1:14" ht="15" customHeight="1" x14ac:dyDescent="0.25">
      <c r="A82" s="61" t="s">
        <v>154</v>
      </c>
      <c r="B82" s="355" t="s">
        <v>17</v>
      </c>
      <c r="C82" s="129">
        <f>(C81-C80)*C79*$C$129</f>
        <v>13.013799804878049</v>
      </c>
      <c r="D82" s="130">
        <f t="shared" ref="D82:J82" si="51">(D81-D80)*D79*$C$129</f>
        <v>6.5068999024390246</v>
      </c>
      <c r="E82" s="130">
        <f t="shared" si="51"/>
        <v>13.013799804878049</v>
      </c>
      <c r="F82" s="130">
        <f t="shared" si="51"/>
        <v>13.013799804878049</v>
      </c>
      <c r="G82" s="130">
        <f t="shared" si="51"/>
        <v>19.520699707317071</v>
      </c>
      <c r="H82" s="130">
        <f t="shared" si="51"/>
        <v>19.520699707317071</v>
      </c>
      <c r="I82" s="130">
        <f t="shared" si="51"/>
        <v>32.534499512195119</v>
      </c>
      <c r="J82" s="130">
        <f t="shared" si="51"/>
        <v>32.534499512195119</v>
      </c>
      <c r="K82" s="100"/>
      <c r="L82" s="101"/>
      <c r="M82" s="102"/>
      <c r="N82" s="102"/>
    </row>
    <row r="83" spans="1:14" ht="15" customHeight="1" x14ac:dyDescent="0.25">
      <c r="A83" s="64"/>
      <c r="B83" s="356" t="s">
        <v>102</v>
      </c>
      <c r="C83" s="80">
        <f>C82/'Melkkar und Herde'!C$16</f>
        <v>1.5700499999999999E-2</v>
      </c>
      <c r="D83" s="81">
        <f>D82/'Melkkar und Herde'!D$16</f>
        <v>1.5700499999999999E-2</v>
      </c>
      <c r="E83" s="81">
        <f>E82/'Melkkar und Herde'!E$16</f>
        <v>1.5700499999999999E-2</v>
      </c>
      <c r="F83" s="81">
        <f>F82/'Melkkar und Herde'!F$16</f>
        <v>1.5700499999999999E-2</v>
      </c>
      <c r="G83" s="81">
        <f>G82/'Melkkar und Herde'!G$16</f>
        <v>1.5700499999999999E-2</v>
      </c>
      <c r="H83" s="81">
        <f>H82/'Melkkar und Herde'!H$16</f>
        <v>1.5700499999999999E-2</v>
      </c>
      <c r="I83" s="81">
        <f>I82/'Melkkar und Herde'!I$16</f>
        <v>1.5700499999999999E-2</v>
      </c>
      <c r="J83" s="81">
        <f>J82/'Melkkar und Herde'!J$16</f>
        <v>1.5700499999999999E-2</v>
      </c>
      <c r="K83" s="100"/>
      <c r="L83" s="101"/>
      <c r="M83" s="102"/>
      <c r="N83" s="102"/>
    </row>
    <row r="84" spans="1:14" ht="15" customHeight="1" x14ac:dyDescent="0.25">
      <c r="A84" s="64"/>
      <c r="B84" s="357" t="s">
        <v>204</v>
      </c>
      <c r="C84" s="82">
        <f t="shared" ref="C84:J84" si="52">C82*365/C4</f>
        <v>9.8959102682926829</v>
      </c>
      <c r="D84" s="83">
        <f t="shared" si="52"/>
        <v>9.8959102682926829</v>
      </c>
      <c r="E84" s="83">
        <f t="shared" si="52"/>
        <v>9.8959102682926829</v>
      </c>
      <c r="F84" s="83">
        <f t="shared" si="52"/>
        <v>9.8959102682926829</v>
      </c>
      <c r="G84" s="83">
        <f t="shared" si="52"/>
        <v>9.8959102682926812</v>
      </c>
      <c r="H84" s="83">
        <f t="shared" si="52"/>
        <v>9.8959102682926812</v>
      </c>
      <c r="I84" s="83">
        <f t="shared" si="52"/>
        <v>9.8959102682926829</v>
      </c>
      <c r="J84" s="83">
        <f t="shared" si="52"/>
        <v>9.8959102682926829</v>
      </c>
      <c r="K84" s="100"/>
      <c r="L84" s="101"/>
      <c r="M84" s="102"/>
      <c r="N84" s="102"/>
    </row>
    <row r="85" spans="1:14" ht="15" customHeight="1" x14ac:dyDescent="0.25">
      <c r="A85" s="75"/>
      <c r="B85" s="358" t="s">
        <v>4</v>
      </c>
      <c r="C85" s="84">
        <f t="shared" ref="C85:J85" si="53">C82/C7*1000</f>
        <v>0.98959102682926836</v>
      </c>
      <c r="D85" s="85">
        <f t="shared" si="53"/>
        <v>0.98959102682926836</v>
      </c>
      <c r="E85" s="85">
        <f t="shared" si="53"/>
        <v>0.98959102682926836</v>
      </c>
      <c r="F85" s="85">
        <f t="shared" si="53"/>
        <v>0.98959102682926836</v>
      </c>
      <c r="G85" s="85">
        <f t="shared" si="53"/>
        <v>0.98959102682926814</v>
      </c>
      <c r="H85" s="85">
        <f t="shared" si="53"/>
        <v>0.98959102682926814</v>
      </c>
      <c r="I85" s="85">
        <f t="shared" si="53"/>
        <v>0.98959102682926836</v>
      </c>
      <c r="J85" s="85">
        <f t="shared" si="53"/>
        <v>0.98959102682926836</v>
      </c>
      <c r="K85" s="100"/>
      <c r="L85" s="101"/>
      <c r="M85" s="102"/>
      <c r="N85" s="102"/>
    </row>
    <row r="86" spans="1:14" ht="6.95" customHeight="1" x14ac:dyDescent="0.25">
      <c r="D86" s="131"/>
      <c r="E86" s="131"/>
    </row>
    <row r="87" spans="1:14" s="60" customFormat="1" ht="18" customHeight="1" x14ac:dyDescent="0.2">
      <c r="A87" s="57" t="s">
        <v>155</v>
      </c>
      <c r="B87" s="350"/>
      <c r="C87" s="58"/>
      <c r="D87" s="58"/>
      <c r="E87" s="58"/>
      <c r="F87" s="58"/>
      <c r="G87" s="58"/>
      <c r="H87" s="58"/>
      <c r="I87" s="58"/>
      <c r="J87" s="59"/>
    </row>
    <row r="88" spans="1:14" ht="15" customHeight="1" x14ac:dyDescent="0.25">
      <c r="A88" s="132" t="s">
        <v>156</v>
      </c>
      <c r="B88" s="351" t="s">
        <v>41</v>
      </c>
      <c r="C88" s="133"/>
      <c r="D88" s="87"/>
      <c r="E88" s="87"/>
      <c r="F88" s="87"/>
      <c r="G88" s="87"/>
      <c r="H88" s="87">
        <v>3</v>
      </c>
      <c r="I88" s="87">
        <v>3</v>
      </c>
      <c r="J88" s="87">
        <v>3</v>
      </c>
    </row>
    <row r="89" spans="1:14" ht="15" customHeight="1" x14ac:dyDescent="0.25">
      <c r="A89" s="134" t="s">
        <v>153</v>
      </c>
      <c r="B89" s="366" t="s">
        <v>6</v>
      </c>
      <c r="C89" s="135">
        <f>C71*0.7</f>
        <v>4.8019999999999987</v>
      </c>
      <c r="D89" s="136"/>
      <c r="E89" s="137"/>
      <c r="F89" s="137"/>
      <c r="G89" s="137"/>
      <c r="H89" s="137">
        <f>H71*0.7</f>
        <v>2.6936000000000004</v>
      </c>
      <c r="I89" s="137">
        <f>I71*0.7</f>
        <v>3.1079999999999997</v>
      </c>
      <c r="J89" s="137">
        <f>J71*0.7</f>
        <v>3.1079999999999997</v>
      </c>
    </row>
    <row r="90" spans="1:14" ht="15" customHeight="1" x14ac:dyDescent="0.25">
      <c r="A90" s="61" t="s">
        <v>154</v>
      </c>
      <c r="B90" s="355" t="s">
        <v>17</v>
      </c>
      <c r="C90" s="138">
        <f t="shared" ref="C90" si="54">C89*C88</f>
        <v>0</v>
      </c>
      <c r="D90" s="130">
        <f t="shared" ref="D90" si="55">D89*D88</f>
        <v>0</v>
      </c>
      <c r="E90" s="130">
        <f t="shared" ref="E90" si="56">E89*E88</f>
        <v>0</v>
      </c>
      <c r="F90" s="130">
        <f t="shared" ref="F90" si="57">F89*F88</f>
        <v>0</v>
      </c>
      <c r="G90" s="130">
        <f t="shared" ref="G90" si="58">G89*G88</f>
        <v>0</v>
      </c>
      <c r="H90" s="130">
        <f t="shared" ref="H90" si="59">H89*H88</f>
        <v>8.0808000000000018</v>
      </c>
      <c r="I90" s="130">
        <f t="shared" ref="I90" si="60">I89*I88</f>
        <v>9.3239999999999981</v>
      </c>
      <c r="J90" s="130">
        <f t="shared" ref="J90" si="61">J89*J88</f>
        <v>9.3239999999999981</v>
      </c>
    </row>
    <row r="91" spans="1:14" ht="15" customHeight="1" x14ac:dyDescent="0.25">
      <c r="A91" s="64"/>
      <c r="B91" s="356" t="s">
        <v>102</v>
      </c>
      <c r="C91" s="139">
        <f>C90/'Melkkar und Herde'!C$16</f>
        <v>0</v>
      </c>
      <c r="D91" s="81">
        <f>D90/'Melkkar und Herde'!D$16</f>
        <v>0</v>
      </c>
      <c r="E91" s="81">
        <f>E90/'Melkkar und Herde'!E$16</f>
        <v>0</v>
      </c>
      <c r="F91" s="81">
        <f>F90/'Melkkar und Herde'!F$16</f>
        <v>0</v>
      </c>
      <c r="G91" s="81">
        <f>G90/'Melkkar und Herde'!G$16</f>
        <v>0</v>
      </c>
      <c r="H91" s="81">
        <f>H90/'Melkkar und Herde'!H$16</f>
        <v>6.4993879472693052E-3</v>
      </c>
      <c r="I91" s="81">
        <f>I90/'Melkkar und Herde'!I$16</f>
        <v>4.4995762711864404E-3</v>
      </c>
      <c r="J91" s="81">
        <f>J90/'Melkkar und Herde'!J$16</f>
        <v>4.4995762711864404E-3</v>
      </c>
    </row>
    <row r="92" spans="1:14" ht="15" customHeight="1" x14ac:dyDescent="0.25">
      <c r="A92" s="64"/>
      <c r="B92" s="357" t="s">
        <v>204</v>
      </c>
      <c r="C92" s="140">
        <f t="shared" ref="C92:J92" si="62">C90*365/C4</f>
        <v>0</v>
      </c>
      <c r="D92" s="83">
        <f t="shared" si="62"/>
        <v>0</v>
      </c>
      <c r="E92" s="83">
        <f t="shared" si="62"/>
        <v>0</v>
      </c>
      <c r="F92" s="83">
        <f t="shared" si="62"/>
        <v>0</v>
      </c>
      <c r="G92" s="83">
        <f t="shared" si="62"/>
        <v>0</v>
      </c>
      <c r="H92" s="83">
        <f t="shared" si="62"/>
        <v>4.0965166666666679</v>
      </c>
      <c r="I92" s="83">
        <f t="shared" si="62"/>
        <v>2.8360499999999993</v>
      </c>
      <c r="J92" s="83">
        <f t="shared" si="62"/>
        <v>2.8360499999999993</v>
      </c>
    </row>
    <row r="93" spans="1:14" ht="15" customHeight="1" x14ac:dyDescent="0.25">
      <c r="A93" s="75"/>
      <c r="B93" s="358" t="s">
        <v>4</v>
      </c>
      <c r="C93" s="141">
        <f t="shared" ref="C93:J93" si="63">C90*1000/C7</f>
        <v>0</v>
      </c>
      <c r="D93" s="85">
        <f t="shared" si="63"/>
        <v>0</v>
      </c>
      <c r="E93" s="85">
        <f t="shared" si="63"/>
        <v>0</v>
      </c>
      <c r="F93" s="85">
        <f t="shared" si="63"/>
        <v>0</v>
      </c>
      <c r="G93" s="85">
        <f t="shared" si="63"/>
        <v>0</v>
      </c>
      <c r="H93" s="85">
        <f t="shared" si="63"/>
        <v>0.4096516666666668</v>
      </c>
      <c r="I93" s="85">
        <f t="shared" si="63"/>
        <v>0.283605</v>
      </c>
      <c r="J93" s="85">
        <f t="shared" si="63"/>
        <v>0.283605</v>
      </c>
    </row>
    <row r="94" spans="1:14" ht="6.95" customHeight="1" x14ac:dyDescent="0.25"/>
    <row r="95" spans="1:14" s="60" customFormat="1" ht="18" customHeight="1" x14ac:dyDescent="0.2">
      <c r="A95" s="57" t="s">
        <v>216</v>
      </c>
      <c r="B95" s="350"/>
      <c r="C95" s="58"/>
      <c r="D95" s="58"/>
      <c r="E95" s="58"/>
      <c r="F95" s="58"/>
      <c r="G95" s="58"/>
      <c r="H95" s="58"/>
      <c r="I95" s="58"/>
      <c r="J95" s="59"/>
    </row>
    <row r="96" spans="1:14" ht="15" customHeight="1" x14ac:dyDescent="0.25">
      <c r="A96" s="142" t="s">
        <v>144</v>
      </c>
      <c r="B96" s="367" t="str">
        <f t="shared" ref="B96:J96" si="64">B17</f>
        <v>kWh/d</v>
      </c>
      <c r="C96" s="143">
        <f t="shared" si="64"/>
        <v>47.824999999999989</v>
      </c>
      <c r="D96" s="144">
        <f t="shared" si="64"/>
        <v>21.651666666666667</v>
      </c>
      <c r="E96" s="145">
        <f t="shared" si="64"/>
        <v>49.3</v>
      </c>
      <c r="F96" s="145">
        <f t="shared" si="64"/>
        <v>47.824999999999989</v>
      </c>
      <c r="G96" s="145">
        <f t="shared" si="64"/>
        <v>48.183999999999997</v>
      </c>
      <c r="H96" s="145">
        <f t="shared" si="64"/>
        <v>38.986500000000007</v>
      </c>
      <c r="I96" s="145">
        <f t="shared" si="64"/>
        <v>53.025555555555549</v>
      </c>
      <c r="J96" s="145">
        <f t="shared" si="64"/>
        <v>61.533333333333331</v>
      </c>
    </row>
    <row r="97" spans="1:10" ht="15" customHeight="1" x14ac:dyDescent="0.25">
      <c r="A97" s="146" t="s">
        <v>145</v>
      </c>
      <c r="B97" s="368" t="str">
        <f t="shared" ref="B97:J97" si="65">B33</f>
        <v>kWh/d</v>
      </c>
      <c r="C97" s="147">
        <f t="shared" si="65"/>
        <v>4.2265766347893514</v>
      </c>
      <c r="D97" s="148">
        <f t="shared" si="65"/>
        <v>2.8011958230406471</v>
      </c>
      <c r="E97" s="149">
        <f t="shared" si="65"/>
        <v>4.2265766347893514</v>
      </c>
      <c r="F97" s="149">
        <f t="shared" si="65"/>
        <v>4.2265766347893514</v>
      </c>
      <c r="G97" s="149">
        <f t="shared" si="65"/>
        <v>5.7773649521840262</v>
      </c>
      <c r="H97" s="149">
        <f t="shared" si="65"/>
        <v>10.334437457893555</v>
      </c>
      <c r="I97" s="149">
        <f t="shared" si="65"/>
        <v>15.724062429822592</v>
      </c>
      <c r="J97" s="149">
        <f t="shared" si="65"/>
        <v>15.724062429822592</v>
      </c>
    </row>
    <row r="98" spans="1:10" ht="15" customHeight="1" x14ac:dyDescent="0.25">
      <c r="A98" s="146" t="s">
        <v>146</v>
      </c>
      <c r="B98" s="368" t="str">
        <f t="shared" ref="B98:J98" si="66">B45</f>
        <v>kWh/d</v>
      </c>
      <c r="C98" s="147">
        <f t="shared" si="66"/>
        <v>49.017791518366494</v>
      </c>
      <c r="D98" s="148">
        <f t="shared" si="66"/>
        <v>35.161521771377018</v>
      </c>
      <c r="E98" s="149">
        <f t="shared" si="66"/>
        <v>42.089656644871759</v>
      </c>
      <c r="F98" s="149">
        <f t="shared" si="66"/>
        <v>49.017791518366494</v>
      </c>
      <c r="G98" s="149">
        <f t="shared" si="66"/>
        <v>75.131218266591873</v>
      </c>
      <c r="H98" s="149">
        <f t="shared" si="66"/>
        <v>106.8492371138897</v>
      </c>
      <c r="I98" s="149">
        <f t="shared" si="66"/>
        <v>148.52259944070559</v>
      </c>
      <c r="J98" s="149">
        <f t="shared" si="66"/>
        <v>183.51113887243898</v>
      </c>
    </row>
    <row r="99" spans="1:10" ht="15" customHeight="1" x14ac:dyDescent="0.25">
      <c r="A99" s="150" t="s">
        <v>147</v>
      </c>
      <c r="B99" s="368" t="str">
        <f t="shared" ref="B99:J99" si="67">B55</f>
        <v>kWh/d</v>
      </c>
      <c r="C99" s="147">
        <f t="shared" si="67"/>
        <v>29.463466666666669</v>
      </c>
      <c r="D99" s="148">
        <f t="shared" si="67"/>
        <v>12.384</v>
      </c>
      <c r="E99" s="149">
        <f t="shared" si="67"/>
        <v>25.497599999999998</v>
      </c>
      <c r="F99" s="149">
        <f t="shared" si="67"/>
        <v>29.463466666666669</v>
      </c>
      <c r="G99" s="149">
        <f t="shared" si="67"/>
        <v>27.726720000000004</v>
      </c>
      <c r="H99" s="149">
        <f t="shared" si="67"/>
        <v>28.06784</v>
      </c>
      <c r="I99" s="149">
        <f t="shared" si="67"/>
        <v>36.917333333333332</v>
      </c>
      <c r="J99" s="149">
        <f t="shared" si="67"/>
        <v>46.105599999999995</v>
      </c>
    </row>
    <row r="100" spans="1:10" ht="15" customHeight="1" x14ac:dyDescent="0.25">
      <c r="A100" s="146" t="s">
        <v>148</v>
      </c>
      <c r="B100" s="368" t="str">
        <f t="shared" ref="B100:J100" si="68">B63</f>
        <v>kWh/d</v>
      </c>
      <c r="C100" s="147">
        <f t="shared" si="68"/>
        <v>16.577560975609753</v>
      </c>
      <c r="D100" s="148">
        <f t="shared" si="68"/>
        <v>8.2887804878048765</v>
      </c>
      <c r="E100" s="149">
        <f t="shared" si="68"/>
        <v>16.577560975609753</v>
      </c>
      <c r="F100" s="149">
        <f t="shared" si="68"/>
        <v>16.577560975609753</v>
      </c>
      <c r="G100" s="149">
        <f t="shared" si="68"/>
        <v>24.866341463414631</v>
      </c>
      <c r="H100" s="149">
        <f t="shared" si="68"/>
        <v>24.866341463414631</v>
      </c>
      <c r="I100" s="149">
        <f t="shared" si="68"/>
        <v>41.443902439024384</v>
      </c>
      <c r="J100" s="149">
        <f t="shared" si="68"/>
        <v>41.443902439024384</v>
      </c>
    </row>
    <row r="101" spans="1:10" ht="15" customHeight="1" x14ac:dyDescent="0.25">
      <c r="A101" s="146" t="s">
        <v>149</v>
      </c>
      <c r="B101" s="368" t="str">
        <f t="shared" ref="B101:J101" si="69">B73</f>
        <v>kWh/d</v>
      </c>
      <c r="C101" s="147">
        <f t="shared" si="69"/>
        <v>2.7439999999999998</v>
      </c>
      <c r="D101" s="148">
        <f t="shared" si="69"/>
        <v>1.4373333333333334</v>
      </c>
      <c r="E101" s="149">
        <f t="shared" si="69"/>
        <v>2.8224</v>
      </c>
      <c r="F101" s="149">
        <f t="shared" si="69"/>
        <v>2.7439999999999998</v>
      </c>
      <c r="G101" s="149">
        <f t="shared" si="69"/>
        <v>2.1168</v>
      </c>
      <c r="H101" s="149">
        <f t="shared" si="69"/>
        <v>1.5392000000000003</v>
      </c>
      <c r="I101" s="149">
        <f t="shared" si="69"/>
        <v>1.7759999999999998</v>
      </c>
      <c r="J101" s="149">
        <f t="shared" si="69"/>
        <v>1.7759999999999998</v>
      </c>
    </row>
    <row r="102" spans="1:10" ht="15" customHeight="1" x14ac:dyDescent="0.25">
      <c r="A102" s="146" t="s">
        <v>150</v>
      </c>
      <c r="B102" s="368" t="str">
        <f t="shared" ref="B102:J102" si="70">B82</f>
        <v>kWh/d</v>
      </c>
      <c r="C102" s="147">
        <f t="shared" ref="C102" si="71">C82</f>
        <v>13.013799804878049</v>
      </c>
      <c r="D102" s="148">
        <f t="shared" si="70"/>
        <v>6.5068999024390246</v>
      </c>
      <c r="E102" s="149">
        <f t="shared" si="70"/>
        <v>13.013799804878049</v>
      </c>
      <c r="F102" s="149">
        <f t="shared" si="70"/>
        <v>13.013799804878049</v>
      </c>
      <c r="G102" s="149">
        <f t="shared" si="70"/>
        <v>19.520699707317071</v>
      </c>
      <c r="H102" s="149">
        <f t="shared" si="70"/>
        <v>19.520699707317071</v>
      </c>
      <c r="I102" s="149">
        <f t="shared" si="70"/>
        <v>32.534499512195119</v>
      </c>
      <c r="J102" s="149">
        <f t="shared" si="70"/>
        <v>32.534499512195119</v>
      </c>
    </row>
    <row r="103" spans="1:10" ht="15" customHeight="1" x14ac:dyDescent="0.25">
      <c r="A103" s="151" t="s">
        <v>155</v>
      </c>
      <c r="B103" s="369" t="s">
        <v>17</v>
      </c>
      <c r="C103" s="152"/>
      <c r="D103" s="153"/>
      <c r="E103" s="154"/>
      <c r="F103" s="154"/>
      <c r="G103" s="154"/>
      <c r="H103" s="154">
        <f>H90</f>
        <v>8.0808000000000018</v>
      </c>
      <c r="I103" s="154">
        <f t="shared" ref="I103:J103" si="72">I90</f>
        <v>9.3239999999999981</v>
      </c>
      <c r="J103" s="154">
        <f t="shared" si="72"/>
        <v>9.3239999999999981</v>
      </c>
    </row>
    <row r="104" spans="1:10" s="51" customFormat="1" ht="18" customHeight="1" x14ac:dyDescent="0.25">
      <c r="A104" s="155" t="s">
        <v>154</v>
      </c>
      <c r="B104" s="355" t="s">
        <v>17</v>
      </c>
      <c r="C104" s="156">
        <f t="shared" ref="C104:J107" si="73">C17+C33+C45+C55+C63+C73+C82+C90</f>
        <v>162.86819560031032</v>
      </c>
      <c r="D104" s="157">
        <f t="shared" si="73"/>
        <v>88.231397984661569</v>
      </c>
      <c r="E104" s="157">
        <f t="shared" si="73"/>
        <v>153.52759406014891</v>
      </c>
      <c r="F104" s="157">
        <f t="shared" si="73"/>
        <v>162.86819560031032</v>
      </c>
      <c r="G104" s="157">
        <f t="shared" si="73"/>
        <v>203.32314438950763</v>
      </c>
      <c r="H104" s="157">
        <f t="shared" si="73"/>
        <v>238.24505574251498</v>
      </c>
      <c r="I104" s="157">
        <f t="shared" si="73"/>
        <v>339.26795271063656</v>
      </c>
      <c r="J104" s="157">
        <f t="shared" si="73"/>
        <v>391.9525365868144</v>
      </c>
    </row>
    <row r="105" spans="1:10" s="51" customFormat="1" ht="18" customHeight="1" x14ac:dyDescent="0.25">
      <c r="A105" s="158"/>
      <c r="B105" s="356" t="s">
        <v>102</v>
      </c>
      <c r="C105" s="159">
        <f t="shared" si="73"/>
        <v>0.19649234991798264</v>
      </c>
      <c r="D105" s="160">
        <f t="shared" si="73"/>
        <v>0.21289355681327241</v>
      </c>
      <c r="E105" s="160">
        <f t="shared" si="73"/>
        <v>0.18522338031032559</v>
      </c>
      <c r="F105" s="160">
        <f t="shared" si="73"/>
        <v>0.19649234991798264</v>
      </c>
      <c r="G105" s="160">
        <f t="shared" si="73"/>
        <v>0.163532817796018</v>
      </c>
      <c r="H105" s="160">
        <f t="shared" si="73"/>
        <v>0.19162051328945218</v>
      </c>
      <c r="I105" s="160">
        <f t="shared" si="73"/>
        <v>0.16372394139755297</v>
      </c>
      <c r="J105" s="160">
        <f t="shared" si="73"/>
        <v>0.18914846986887232</v>
      </c>
    </row>
    <row r="106" spans="1:10" s="51" customFormat="1" ht="18" customHeight="1" x14ac:dyDescent="0.25">
      <c r="A106" s="158"/>
      <c r="B106" s="357" t="s">
        <v>204</v>
      </c>
      <c r="C106" s="161">
        <f t="shared" si="73"/>
        <v>123.84769040440264</v>
      </c>
      <c r="D106" s="162">
        <f t="shared" si="73"/>
        <v>134.1852511016728</v>
      </c>
      <c r="E106" s="162">
        <f t="shared" si="73"/>
        <v>116.74494131657157</v>
      </c>
      <c r="F106" s="162">
        <f t="shared" si="73"/>
        <v>123.84769040440264</v>
      </c>
      <c r="G106" s="162">
        <f t="shared" si="73"/>
        <v>103.0735384752365</v>
      </c>
      <c r="H106" s="162">
        <f t="shared" si="73"/>
        <v>120.77700742502496</v>
      </c>
      <c r="I106" s="162">
        <f t="shared" si="73"/>
        <v>103.19400228281863</v>
      </c>
      <c r="J106" s="162">
        <f t="shared" si="73"/>
        <v>119.21889654515606</v>
      </c>
    </row>
    <row r="107" spans="1:10" s="51" customFormat="1" ht="18" customHeight="1" x14ac:dyDescent="0.25">
      <c r="A107" s="163"/>
      <c r="B107" s="358" t="s">
        <v>4</v>
      </c>
      <c r="C107" s="164">
        <f t="shared" si="73"/>
        <v>12.384769040440265</v>
      </c>
      <c r="D107" s="165">
        <f t="shared" si="73"/>
        <v>13.418525110167282</v>
      </c>
      <c r="E107" s="165">
        <f t="shared" si="73"/>
        <v>11.674494131657157</v>
      </c>
      <c r="F107" s="165">
        <f t="shared" si="73"/>
        <v>12.384769040440265</v>
      </c>
      <c r="G107" s="165">
        <f t="shared" si="73"/>
        <v>10.30735384752365</v>
      </c>
      <c r="H107" s="165">
        <f t="shared" si="73"/>
        <v>12.077700742502495</v>
      </c>
      <c r="I107" s="165">
        <f t="shared" si="73"/>
        <v>10.319400228281863</v>
      </c>
      <c r="J107" s="165">
        <f t="shared" si="73"/>
        <v>11.921889654515605</v>
      </c>
    </row>
    <row r="108" spans="1:10" ht="6.95" customHeight="1" x14ac:dyDescent="0.25"/>
    <row r="109" spans="1:10" ht="15" customHeight="1" x14ac:dyDescent="0.25">
      <c r="A109" s="166" t="s">
        <v>157</v>
      </c>
      <c r="B109" s="370" t="s">
        <v>10</v>
      </c>
      <c r="C109" s="167">
        <f>(C98+C102)/C104*100</f>
        <v>38.086988742402667</v>
      </c>
      <c r="D109" s="168">
        <f>(D98+D102)/D104*100</f>
        <v>47.226296562885487</v>
      </c>
      <c r="E109" s="168">
        <f t="shared" ref="E109:J109" si="74">(E98+E102)/E104*100</f>
        <v>35.891565152881519</v>
      </c>
      <c r="F109" s="168">
        <f t="shared" si="74"/>
        <v>38.086988742402667</v>
      </c>
      <c r="G109" s="168">
        <f t="shared" si="74"/>
        <v>46.552456316819288</v>
      </c>
      <c r="H109" s="168">
        <f t="shared" si="74"/>
        <v>53.041997630281145</v>
      </c>
      <c r="I109" s="168">
        <f t="shared" si="74"/>
        <v>53.366991343071312</v>
      </c>
      <c r="J109" s="168">
        <f t="shared" si="74"/>
        <v>55.120357241719667</v>
      </c>
    </row>
    <row r="129" spans="1:8" ht="15" customHeight="1" x14ac:dyDescent="0.25">
      <c r="A129" s="169" t="s">
        <v>103</v>
      </c>
      <c r="B129" s="371" t="s">
        <v>205</v>
      </c>
      <c r="C129" s="170">
        <v>1.163E-3</v>
      </c>
    </row>
    <row r="131" spans="1:8" ht="15" customHeight="1" x14ac:dyDescent="0.25">
      <c r="A131" s="171" t="s">
        <v>88</v>
      </c>
      <c r="B131" s="372"/>
      <c r="C131" s="172"/>
      <c r="D131" s="172"/>
      <c r="E131" s="172"/>
      <c r="F131" s="172"/>
      <c r="G131" s="172"/>
      <c r="H131" s="172"/>
    </row>
    <row r="132" spans="1:8" ht="15" customHeight="1" x14ac:dyDescent="0.25">
      <c r="A132" s="172" t="s">
        <v>86</v>
      </c>
      <c r="B132" s="373" t="s">
        <v>87</v>
      </c>
      <c r="C132" s="173" t="s">
        <v>127</v>
      </c>
      <c r="D132" s="172"/>
      <c r="E132" s="172"/>
      <c r="F132" s="172"/>
      <c r="G132" s="172"/>
      <c r="H132" s="172"/>
    </row>
    <row r="133" spans="1:8" ht="15" customHeight="1" x14ac:dyDescent="0.25">
      <c r="A133" s="169">
        <v>200</v>
      </c>
      <c r="B133" s="371">
        <v>0.75</v>
      </c>
      <c r="C133" s="170">
        <v>1.1000000000000001</v>
      </c>
      <c r="D133" s="172"/>
      <c r="E133" s="172"/>
      <c r="F133" s="172"/>
      <c r="G133" s="172"/>
      <c r="H133" s="172"/>
    </row>
    <row r="134" spans="1:8" ht="15" customHeight="1" x14ac:dyDescent="0.25">
      <c r="A134" s="169">
        <v>400</v>
      </c>
      <c r="B134" s="374">
        <v>1.1000000000000001</v>
      </c>
      <c r="C134" s="170">
        <v>2.2000000000000002</v>
      </c>
      <c r="D134" s="172"/>
      <c r="E134" s="172"/>
      <c r="F134" s="172"/>
      <c r="G134" s="172"/>
      <c r="H134" s="172"/>
    </row>
    <row r="135" spans="1:8" ht="15" customHeight="1" x14ac:dyDescent="0.25">
      <c r="A135" s="169">
        <v>800</v>
      </c>
      <c r="B135" s="374">
        <v>2.2000000000000002</v>
      </c>
      <c r="C135" s="174">
        <v>3</v>
      </c>
      <c r="D135" s="172"/>
      <c r="E135" s="172"/>
      <c r="F135" s="172"/>
      <c r="G135" s="172"/>
      <c r="H135" s="172"/>
    </row>
    <row r="136" spans="1:8" ht="15" customHeight="1" x14ac:dyDescent="0.25">
      <c r="A136" s="169">
        <v>1200</v>
      </c>
      <c r="B136" s="375">
        <v>3</v>
      </c>
      <c r="C136" s="170">
        <v>4</v>
      </c>
      <c r="D136" s="172"/>
      <c r="E136" s="172"/>
      <c r="F136" s="172"/>
      <c r="G136" s="172"/>
      <c r="H136" s="172"/>
    </row>
    <row r="137" spans="1:8" ht="15" customHeight="1" x14ac:dyDescent="0.25">
      <c r="A137" s="169">
        <v>1500</v>
      </c>
      <c r="B137" s="374">
        <v>4</v>
      </c>
      <c r="C137" s="170">
        <v>5.5</v>
      </c>
      <c r="D137" s="172"/>
      <c r="E137" s="172"/>
      <c r="F137" s="172"/>
      <c r="G137" s="172"/>
      <c r="H137" s="172"/>
    </row>
    <row r="138" spans="1:8" ht="15" customHeight="1" x14ac:dyDescent="0.25">
      <c r="A138" s="169">
        <v>2100</v>
      </c>
      <c r="B138" s="374">
        <v>5.5</v>
      </c>
      <c r="C138" s="170">
        <v>7.5</v>
      </c>
      <c r="D138" s="172"/>
      <c r="E138" s="172"/>
      <c r="F138" s="172"/>
      <c r="G138" s="172"/>
      <c r="H138" s="172"/>
    </row>
    <row r="139" spans="1:8" ht="15" customHeight="1" x14ac:dyDescent="0.25">
      <c r="A139" s="169">
        <v>2800</v>
      </c>
      <c r="B139" s="374">
        <v>7.5</v>
      </c>
      <c r="C139" s="173">
        <v>8</v>
      </c>
      <c r="D139" s="172"/>
      <c r="E139" s="172"/>
      <c r="F139" s="172"/>
      <c r="G139" s="172"/>
      <c r="H139" s="172"/>
    </row>
    <row r="140" spans="1:8" ht="15" customHeight="1" x14ac:dyDescent="0.25">
      <c r="A140" s="169">
        <v>3000</v>
      </c>
      <c r="B140" s="376">
        <v>8</v>
      </c>
      <c r="C140" s="173">
        <v>9.5</v>
      </c>
      <c r="D140" s="172"/>
      <c r="E140" s="172"/>
      <c r="F140" s="172"/>
      <c r="G140" s="172"/>
      <c r="H140" s="172"/>
    </row>
    <row r="141" spans="1:8" ht="15" customHeight="1" x14ac:dyDescent="0.25">
      <c r="A141" s="169">
        <v>3600</v>
      </c>
      <c r="B141" s="376">
        <v>9.5</v>
      </c>
      <c r="C141" s="170">
        <v>10.5</v>
      </c>
      <c r="D141" s="172"/>
      <c r="E141" s="172"/>
      <c r="F141" s="172"/>
      <c r="G141" s="172"/>
      <c r="H141" s="172"/>
    </row>
    <row r="142" spans="1:8" ht="15" customHeight="1" x14ac:dyDescent="0.25">
      <c r="A142" s="169">
        <v>4000</v>
      </c>
      <c r="B142" s="374">
        <v>10.5</v>
      </c>
      <c r="C142" s="170">
        <v>11</v>
      </c>
      <c r="D142" s="172"/>
      <c r="E142" s="172"/>
      <c r="F142" s="172"/>
      <c r="G142" s="172"/>
      <c r="H142" s="172"/>
    </row>
    <row r="143" spans="1:8" ht="15" customHeight="1" x14ac:dyDescent="0.25">
      <c r="A143" s="169">
        <v>4200</v>
      </c>
      <c r="B143" s="374">
        <v>11</v>
      </c>
      <c r="C143" s="170">
        <v>11.5</v>
      </c>
      <c r="D143" s="172"/>
      <c r="E143" s="172"/>
      <c r="F143" s="172"/>
      <c r="G143" s="172"/>
      <c r="H143" s="172"/>
    </row>
    <row r="144" spans="1:8" ht="15" customHeight="1" x14ac:dyDescent="0.25">
      <c r="A144" s="169">
        <v>4300</v>
      </c>
      <c r="B144" s="374">
        <v>11.5</v>
      </c>
      <c r="C144" s="170">
        <v>13</v>
      </c>
      <c r="D144" s="172"/>
      <c r="E144" s="172"/>
      <c r="F144" s="172"/>
      <c r="G144" s="172"/>
      <c r="H144" s="172"/>
    </row>
    <row r="145" spans="1:8" ht="15" customHeight="1" x14ac:dyDescent="0.25">
      <c r="A145" s="169">
        <v>4900</v>
      </c>
      <c r="B145" s="374">
        <v>13</v>
      </c>
      <c r="C145" s="170">
        <v>15</v>
      </c>
      <c r="D145" s="172"/>
      <c r="E145" s="172"/>
      <c r="F145" s="172"/>
      <c r="G145" s="172"/>
      <c r="H145" s="172"/>
    </row>
    <row r="146" spans="1:8" ht="15" customHeight="1" x14ac:dyDescent="0.25">
      <c r="A146" s="169">
        <v>5600</v>
      </c>
      <c r="B146" s="374">
        <v>15</v>
      </c>
      <c r="C146" s="170">
        <v>18</v>
      </c>
      <c r="D146" s="172"/>
      <c r="E146" s="172"/>
      <c r="F146" s="172"/>
      <c r="G146" s="172"/>
      <c r="H146" s="172"/>
    </row>
    <row r="147" spans="1:8" ht="15" customHeight="1" x14ac:dyDescent="0.25">
      <c r="A147" s="169" t="s">
        <v>121</v>
      </c>
      <c r="B147" s="374">
        <v>2.2000000000000002</v>
      </c>
      <c r="C147" s="170">
        <v>2.2000000000000002</v>
      </c>
      <c r="D147" s="172"/>
      <c r="E147" s="172"/>
      <c r="F147" s="172"/>
      <c r="G147" s="172"/>
      <c r="H147" s="172"/>
    </row>
    <row r="148" spans="1:8" ht="15" customHeight="1" x14ac:dyDescent="0.25">
      <c r="A148" s="172"/>
      <c r="B148" s="373"/>
      <c r="C148" s="172"/>
      <c r="D148" s="172"/>
      <c r="E148" s="172"/>
      <c r="F148" s="172"/>
      <c r="G148" s="172"/>
      <c r="H148" s="172"/>
    </row>
    <row r="149" spans="1:8" ht="15" customHeight="1" x14ac:dyDescent="0.25">
      <c r="A149" s="175" t="s">
        <v>90</v>
      </c>
      <c r="B149" s="377" t="s">
        <v>128</v>
      </c>
      <c r="C149" s="175" t="s">
        <v>129</v>
      </c>
      <c r="D149" s="175" t="s">
        <v>91</v>
      </c>
      <c r="E149" s="175" t="s">
        <v>92</v>
      </c>
      <c r="F149" s="175" t="s">
        <v>93</v>
      </c>
      <c r="G149" s="175" t="s">
        <v>95</v>
      </c>
      <c r="H149" s="175" t="s">
        <v>130</v>
      </c>
    </row>
    <row r="150" spans="1:8" ht="15" customHeight="1" x14ac:dyDescent="0.25">
      <c r="A150" s="172">
        <v>3</v>
      </c>
      <c r="B150" s="373">
        <f>A150*360</f>
        <v>1080</v>
      </c>
      <c r="C150" s="176">
        <v>1.4</v>
      </c>
      <c r="D150" s="172">
        <v>1500</v>
      </c>
      <c r="E150" s="172">
        <v>0.6</v>
      </c>
      <c r="F150" s="172">
        <v>0.1</v>
      </c>
      <c r="G150" s="172">
        <v>0.55000000000000004</v>
      </c>
      <c r="H150" s="172">
        <v>3300</v>
      </c>
    </row>
    <row r="151" spans="1:8" ht="15" customHeight="1" x14ac:dyDescent="0.25">
      <c r="A151" s="172">
        <v>4</v>
      </c>
      <c r="B151" s="373">
        <f t="shared" ref="B151:B190" si="75">A151*360</f>
        <v>1440</v>
      </c>
      <c r="C151" s="176">
        <v>2.2999999999999998</v>
      </c>
      <c r="D151" s="172">
        <v>1500</v>
      </c>
      <c r="E151" s="172">
        <v>0.6</v>
      </c>
      <c r="F151" s="172">
        <v>0.1</v>
      </c>
      <c r="G151" s="172">
        <v>0.55000000000000004</v>
      </c>
      <c r="H151" s="172">
        <v>3300</v>
      </c>
    </row>
    <row r="152" spans="1:8" ht="15" customHeight="1" x14ac:dyDescent="0.25">
      <c r="A152" s="172">
        <v>5</v>
      </c>
      <c r="B152" s="373">
        <f t="shared" si="75"/>
        <v>1800</v>
      </c>
      <c r="C152" s="176">
        <v>3.4</v>
      </c>
      <c r="D152" s="172">
        <v>2000</v>
      </c>
      <c r="E152" s="172">
        <v>0.7</v>
      </c>
      <c r="F152" s="172">
        <v>0.2</v>
      </c>
      <c r="G152" s="172">
        <v>0.55000000000000004</v>
      </c>
      <c r="H152" s="172">
        <v>3300</v>
      </c>
    </row>
    <row r="153" spans="1:8" ht="15" customHeight="1" x14ac:dyDescent="0.25">
      <c r="A153" s="172"/>
      <c r="B153" s="373"/>
      <c r="C153" s="176"/>
      <c r="D153" s="172"/>
      <c r="E153" s="172"/>
      <c r="F153" s="172"/>
      <c r="G153" s="172">
        <v>0.55000000000000004</v>
      </c>
      <c r="H153" s="172">
        <v>3300</v>
      </c>
    </row>
    <row r="154" spans="1:8" ht="15" customHeight="1" x14ac:dyDescent="0.25">
      <c r="A154" s="172">
        <v>6</v>
      </c>
      <c r="B154" s="373">
        <f t="shared" si="75"/>
        <v>2160</v>
      </c>
      <c r="C154" s="176">
        <v>4.7</v>
      </c>
      <c r="D154" s="172">
        <v>2000</v>
      </c>
      <c r="E154" s="172">
        <v>0.7</v>
      </c>
      <c r="F154" s="172">
        <v>0.2</v>
      </c>
      <c r="G154" s="172">
        <v>0.55000000000000004</v>
      </c>
      <c r="H154" s="172">
        <v>3300</v>
      </c>
    </row>
    <row r="155" spans="1:8" ht="15" customHeight="1" x14ac:dyDescent="0.25">
      <c r="A155" s="172">
        <v>7</v>
      </c>
      <c r="B155" s="373">
        <f t="shared" si="75"/>
        <v>2520</v>
      </c>
      <c r="C155" s="176">
        <v>6.2</v>
      </c>
      <c r="D155" s="172">
        <v>3000</v>
      </c>
      <c r="E155" s="172">
        <v>0.9</v>
      </c>
      <c r="F155" s="172">
        <v>0.3</v>
      </c>
      <c r="G155" s="172">
        <v>0.55000000000000004</v>
      </c>
      <c r="H155" s="172">
        <v>3300</v>
      </c>
    </row>
    <row r="156" spans="1:8" ht="15" customHeight="1" x14ac:dyDescent="0.25">
      <c r="A156" s="172">
        <v>8</v>
      </c>
      <c r="B156" s="373">
        <f t="shared" si="75"/>
        <v>2880</v>
      </c>
      <c r="C156" s="176">
        <v>7.9</v>
      </c>
      <c r="D156" s="172">
        <v>3000</v>
      </c>
      <c r="E156" s="172">
        <v>0.9</v>
      </c>
      <c r="F156" s="172">
        <v>0.3</v>
      </c>
      <c r="G156" s="172">
        <v>0.55000000000000004</v>
      </c>
      <c r="H156" s="172">
        <v>3300</v>
      </c>
    </row>
    <row r="157" spans="1:8" ht="15" customHeight="1" x14ac:dyDescent="0.25">
      <c r="A157" s="172">
        <v>9</v>
      </c>
      <c r="B157" s="373">
        <f t="shared" si="75"/>
        <v>3240</v>
      </c>
      <c r="C157" s="176">
        <v>9.8000000000000007</v>
      </c>
      <c r="D157" s="172">
        <v>3000</v>
      </c>
      <c r="E157" s="172">
        <v>0.9</v>
      </c>
      <c r="F157" s="172">
        <v>0.3</v>
      </c>
      <c r="G157" s="172">
        <v>0.55000000000000004</v>
      </c>
      <c r="H157" s="172">
        <v>3300</v>
      </c>
    </row>
    <row r="158" spans="1:8" ht="15" customHeight="1" x14ac:dyDescent="0.25">
      <c r="A158" s="172">
        <v>10</v>
      </c>
      <c r="B158" s="373">
        <f t="shared" si="75"/>
        <v>3600</v>
      </c>
      <c r="C158" s="176">
        <v>12</v>
      </c>
      <c r="D158" s="172">
        <v>4000</v>
      </c>
      <c r="E158" s="172">
        <v>1.2</v>
      </c>
      <c r="F158" s="172">
        <v>0.5</v>
      </c>
      <c r="G158" s="172">
        <v>0.55000000000000004</v>
      </c>
      <c r="H158" s="172">
        <v>3300</v>
      </c>
    </row>
    <row r="159" spans="1:8" ht="15" customHeight="1" x14ac:dyDescent="0.25">
      <c r="A159" s="172">
        <v>11</v>
      </c>
      <c r="B159" s="373">
        <f t="shared" si="75"/>
        <v>3960</v>
      </c>
      <c r="C159" s="176">
        <v>14.4</v>
      </c>
      <c r="D159" s="172">
        <v>4000</v>
      </c>
      <c r="E159" s="172">
        <v>1.2</v>
      </c>
      <c r="F159" s="172">
        <v>0.5</v>
      </c>
      <c r="G159" s="172">
        <v>1.1000000000000001</v>
      </c>
      <c r="H159" s="172">
        <v>6100</v>
      </c>
    </row>
    <row r="160" spans="1:8" ht="15" customHeight="1" x14ac:dyDescent="0.25">
      <c r="A160" s="172">
        <v>12</v>
      </c>
      <c r="B160" s="373">
        <f t="shared" si="75"/>
        <v>4320</v>
      </c>
      <c r="C160" s="176">
        <v>16.899999999999999</v>
      </c>
      <c r="D160" s="172">
        <v>4000</v>
      </c>
      <c r="E160" s="172">
        <v>1.2</v>
      </c>
      <c r="F160" s="172">
        <v>0.5</v>
      </c>
      <c r="G160" s="172">
        <v>1.1000000000000001</v>
      </c>
      <c r="H160" s="172">
        <v>6100</v>
      </c>
    </row>
    <row r="161" spans="1:8" ht="15" customHeight="1" x14ac:dyDescent="0.25">
      <c r="A161" s="172">
        <v>13</v>
      </c>
      <c r="B161" s="373">
        <f t="shared" si="75"/>
        <v>4680</v>
      </c>
      <c r="C161" s="176">
        <v>19.7</v>
      </c>
      <c r="D161" s="172">
        <v>5000</v>
      </c>
      <c r="E161" s="172">
        <v>1.5</v>
      </c>
      <c r="F161" s="172">
        <v>0.65</v>
      </c>
      <c r="G161" s="172">
        <v>1.1000000000000001</v>
      </c>
      <c r="H161" s="172">
        <v>6100</v>
      </c>
    </row>
    <row r="162" spans="1:8" ht="15" customHeight="1" x14ac:dyDescent="0.25">
      <c r="A162" s="172">
        <v>14</v>
      </c>
      <c r="B162" s="373">
        <f t="shared" si="75"/>
        <v>5040</v>
      </c>
      <c r="C162" s="176">
        <v>22.7</v>
      </c>
      <c r="D162" s="172">
        <v>5000</v>
      </c>
      <c r="E162" s="172">
        <v>1.5</v>
      </c>
      <c r="F162" s="172">
        <v>0.65</v>
      </c>
      <c r="G162" s="172">
        <v>1.1000000000000001</v>
      </c>
      <c r="H162" s="172">
        <v>6100</v>
      </c>
    </row>
    <row r="163" spans="1:8" ht="15" customHeight="1" x14ac:dyDescent="0.25">
      <c r="A163" s="172">
        <v>15</v>
      </c>
      <c r="B163" s="373">
        <f t="shared" si="75"/>
        <v>5400</v>
      </c>
      <c r="C163" s="176">
        <v>4.9000000000000004</v>
      </c>
      <c r="D163" s="172">
        <v>5000</v>
      </c>
      <c r="E163" s="172">
        <v>1.5</v>
      </c>
      <c r="F163" s="172">
        <v>0.65</v>
      </c>
      <c r="G163" s="172">
        <v>1.1000000000000001</v>
      </c>
      <c r="H163" s="172">
        <v>6100</v>
      </c>
    </row>
    <row r="164" spans="1:8" ht="15" customHeight="1" x14ac:dyDescent="0.25">
      <c r="A164" s="172">
        <v>16</v>
      </c>
      <c r="B164" s="373">
        <f t="shared" si="75"/>
        <v>5760</v>
      </c>
      <c r="C164" s="176">
        <v>5.4</v>
      </c>
      <c r="D164" s="172">
        <v>6000</v>
      </c>
      <c r="E164" s="172">
        <v>1.9</v>
      </c>
      <c r="F164" s="172">
        <v>0.8</v>
      </c>
      <c r="G164" s="172">
        <v>1.1000000000000001</v>
      </c>
      <c r="H164" s="172">
        <v>6100</v>
      </c>
    </row>
    <row r="165" spans="1:8" ht="15" customHeight="1" x14ac:dyDescent="0.25">
      <c r="A165" s="172">
        <v>17</v>
      </c>
      <c r="B165" s="373">
        <f t="shared" si="75"/>
        <v>6120</v>
      </c>
      <c r="C165" s="176">
        <v>6.1</v>
      </c>
      <c r="D165" s="172">
        <v>6000</v>
      </c>
      <c r="E165" s="172">
        <v>1.9</v>
      </c>
      <c r="F165" s="172">
        <v>0.8</v>
      </c>
      <c r="G165" s="172">
        <v>1.1000000000000001</v>
      </c>
      <c r="H165" s="172">
        <v>6100</v>
      </c>
    </row>
    <row r="166" spans="1:8" ht="15" customHeight="1" x14ac:dyDescent="0.25">
      <c r="A166" s="172">
        <v>18</v>
      </c>
      <c r="B166" s="373">
        <f t="shared" si="75"/>
        <v>6480</v>
      </c>
      <c r="C166" s="176">
        <v>6.7</v>
      </c>
      <c r="D166" s="172">
        <v>6000</v>
      </c>
      <c r="E166" s="172">
        <v>1.9</v>
      </c>
      <c r="F166" s="172">
        <v>0.8</v>
      </c>
      <c r="G166" s="172">
        <v>1.1000000000000001</v>
      </c>
      <c r="H166" s="172">
        <v>6100</v>
      </c>
    </row>
    <row r="167" spans="1:8" ht="15" customHeight="1" x14ac:dyDescent="0.25">
      <c r="A167" s="172">
        <v>19</v>
      </c>
      <c r="B167" s="373">
        <f t="shared" si="75"/>
        <v>6840</v>
      </c>
      <c r="C167" s="176">
        <v>7.3</v>
      </c>
      <c r="D167" s="172">
        <v>6000</v>
      </c>
      <c r="E167" s="172">
        <v>1.9</v>
      </c>
      <c r="F167" s="172">
        <v>0.9</v>
      </c>
      <c r="G167" s="172">
        <v>1.1000000000000001</v>
      </c>
      <c r="H167" s="172">
        <v>6100</v>
      </c>
    </row>
    <row r="168" spans="1:8" ht="15" customHeight="1" x14ac:dyDescent="0.25">
      <c r="A168" s="172">
        <v>20</v>
      </c>
      <c r="B168" s="373">
        <f t="shared" si="75"/>
        <v>7200</v>
      </c>
      <c r="C168" s="176">
        <v>8</v>
      </c>
      <c r="D168" s="172">
        <v>8000</v>
      </c>
      <c r="E168" s="172">
        <v>2.8</v>
      </c>
      <c r="F168" s="172">
        <v>0.9</v>
      </c>
      <c r="G168" s="172">
        <v>1.1000000000000001</v>
      </c>
      <c r="H168" s="172">
        <v>6100</v>
      </c>
    </row>
    <row r="169" spans="1:8" ht="15" customHeight="1" x14ac:dyDescent="0.25">
      <c r="A169" s="172">
        <v>21</v>
      </c>
      <c r="B169" s="373">
        <f t="shared" si="75"/>
        <v>7560</v>
      </c>
      <c r="C169" s="176">
        <v>8.8000000000000007</v>
      </c>
      <c r="D169" s="172">
        <v>8000</v>
      </c>
      <c r="E169" s="172">
        <v>2.8</v>
      </c>
      <c r="F169" s="172">
        <v>1</v>
      </c>
      <c r="G169" s="172">
        <v>1.5</v>
      </c>
      <c r="H169" s="172">
        <v>10600</v>
      </c>
    </row>
    <row r="170" spans="1:8" ht="15" customHeight="1" x14ac:dyDescent="0.25">
      <c r="A170" s="172">
        <v>22</v>
      </c>
      <c r="B170" s="373">
        <f t="shared" si="75"/>
        <v>7920</v>
      </c>
      <c r="C170" s="176">
        <v>9.5</v>
      </c>
      <c r="D170" s="172">
        <v>8000</v>
      </c>
      <c r="E170" s="172">
        <v>2.8</v>
      </c>
      <c r="F170" s="172">
        <v>1</v>
      </c>
      <c r="G170" s="172">
        <v>1.5</v>
      </c>
      <c r="H170" s="172">
        <v>10600</v>
      </c>
    </row>
    <row r="171" spans="1:8" ht="15" customHeight="1" x14ac:dyDescent="0.25">
      <c r="A171" s="172">
        <v>23</v>
      </c>
      <c r="B171" s="373">
        <f t="shared" si="75"/>
        <v>8280</v>
      </c>
      <c r="C171" s="176">
        <v>10.3</v>
      </c>
      <c r="D171" s="172">
        <v>8000</v>
      </c>
      <c r="E171" s="172">
        <v>2.8</v>
      </c>
      <c r="F171" s="172">
        <v>1</v>
      </c>
      <c r="G171" s="172">
        <v>1.5</v>
      </c>
      <c r="H171" s="172">
        <v>10600</v>
      </c>
    </row>
    <row r="172" spans="1:8" ht="15" customHeight="1" x14ac:dyDescent="0.25">
      <c r="A172" s="172">
        <v>24</v>
      </c>
      <c r="B172" s="373">
        <f t="shared" si="75"/>
        <v>8640</v>
      </c>
      <c r="C172" s="176">
        <v>11.1</v>
      </c>
      <c r="D172" s="172">
        <v>8000</v>
      </c>
      <c r="E172" s="172">
        <v>2.8</v>
      </c>
      <c r="F172" s="172">
        <v>1.1000000000000001</v>
      </c>
      <c r="G172" s="172">
        <v>1.5</v>
      </c>
      <c r="H172" s="172">
        <v>10600</v>
      </c>
    </row>
    <row r="173" spans="1:8" ht="15" customHeight="1" x14ac:dyDescent="0.25">
      <c r="A173" s="172">
        <v>26</v>
      </c>
      <c r="B173" s="373">
        <f t="shared" si="75"/>
        <v>9360</v>
      </c>
      <c r="C173" s="176">
        <v>4.2</v>
      </c>
      <c r="D173" s="172">
        <v>10000</v>
      </c>
      <c r="E173" s="172">
        <v>2.8</v>
      </c>
      <c r="F173" s="172">
        <v>1.1000000000000001</v>
      </c>
      <c r="G173" s="172">
        <v>1.5</v>
      </c>
      <c r="H173" s="172">
        <v>10600</v>
      </c>
    </row>
    <row r="174" spans="1:8" ht="15" customHeight="1" x14ac:dyDescent="0.25">
      <c r="A174" s="172">
        <v>28</v>
      </c>
      <c r="B174" s="373">
        <f t="shared" si="75"/>
        <v>10080</v>
      </c>
      <c r="C174" s="176">
        <v>4.8</v>
      </c>
      <c r="D174" s="172">
        <v>10000</v>
      </c>
      <c r="E174" s="172">
        <v>2.8</v>
      </c>
      <c r="F174" s="172">
        <v>1.2</v>
      </c>
      <c r="G174" s="172">
        <v>1.5</v>
      </c>
      <c r="H174" s="172">
        <v>10600</v>
      </c>
    </row>
    <row r="175" spans="1:8" ht="15" customHeight="1" x14ac:dyDescent="0.25">
      <c r="A175" s="172">
        <v>30</v>
      </c>
      <c r="B175" s="373">
        <f t="shared" si="75"/>
        <v>10800</v>
      </c>
      <c r="C175" s="176">
        <v>5.4</v>
      </c>
      <c r="D175" s="172">
        <v>10000</v>
      </c>
      <c r="E175" s="172">
        <v>2.8</v>
      </c>
      <c r="F175" s="172">
        <v>1.4</v>
      </c>
      <c r="G175" s="172">
        <v>1.5</v>
      </c>
      <c r="H175" s="172">
        <v>10600</v>
      </c>
    </row>
    <row r="176" spans="1:8" ht="15" customHeight="1" x14ac:dyDescent="0.25">
      <c r="A176" s="172">
        <v>32</v>
      </c>
      <c r="B176" s="373">
        <f t="shared" si="75"/>
        <v>11520</v>
      </c>
      <c r="C176" s="176">
        <v>6.1</v>
      </c>
      <c r="D176" s="172">
        <v>12000</v>
      </c>
      <c r="E176" s="172">
        <v>3.1</v>
      </c>
      <c r="F176" s="172">
        <v>1.6</v>
      </c>
      <c r="G176" s="172">
        <v>1.5</v>
      </c>
      <c r="H176" s="172">
        <v>10600</v>
      </c>
    </row>
    <row r="177" spans="1:8" ht="15" customHeight="1" x14ac:dyDescent="0.25">
      <c r="A177" s="172">
        <v>34</v>
      </c>
      <c r="B177" s="373">
        <f t="shared" si="75"/>
        <v>12240</v>
      </c>
      <c r="C177" s="176">
        <v>6.8</v>
      </c>
      <c r="D177" s="172">
        <v>12000</v>
      </c>
      <c r="E177" s="172">
        <v>3.1</v>
      </c>
      <c r="F177" s="171">
        <v>1.6</v>
      </c>
      <c r="G177" s="172">
        <v>1.5</v>
      </c>
      <c r="H177" s="172">
        <v>10600</v>
      </c>
    </row>
    <row r="178" spans="1:8" ht="15" customHeight="1" x14ac:dyDescent="0.25">
      <c r="A178" s="172">
        <v>36</v>
      </c>
      <c r="B178" s="373">
        <f t="shared" si="75"/>
        <v>12960</v>
      </c>
      <c r="C178" s="176">
        <v>7.6</v>
      </c>
      <c r="D178" s="172">
        <v>12000</v>
      </c>
      <c r="E178" s="172">
        <v>3.1</v>
      </c>
      <c r="F178" s="171">
        <v>1.9</v>
      </c>
      <c r="G178" s="172">
        <v>1.5</v>
      </c>
      <c r="H178" s="172">
        <v>10600</v>
      </c>
    </row>
    <row r="179" spans="1:8" ht="15" customHeight="1" x14ac:dyDescent="0.25">
      <c r="A179" s="172">
        <v>38</v>
      </c>
      <c r="B179" s="373">
        <f t="shared" si="75"/>
        <v>13680</v>
      </c>
      <c r="C179" s="176">
        <v>8.4</v>
      </c>
      <c r="D179" s="172">
        <v>12000</v>
      </c>
      <c r="E179" s="172">
        <v>3.1</v>
      </c>
      <c r="F179" s="172">
        <v>2.2000000000000002</v>
      </c>
      <c r="G179" s="172">
        <v>3</v>
      </c>
      <c r="H179" s="172">
        <v>12200</v>
      </c>
    </row>
    <row r="180" spans="1:8" ht="15" customHeight="1" x14ac:dyDescent="0.25">
      <c r="A180" s="172">
        <v>40</v>
      </c>
      <c r="B180" s="373">
        <f t="shared" si="75"/>
        <v>14400</v>
      </c>
      <c r="C180" s="176">
        <v>9.3000000000000007</v>
      </c>
      <c r="D180" s="172">
        <v>12000</v>
      </c>
      <c r="E180" s="172">
        <v>3.1</v>
      </c>
      <c r="F180" s="172">
        <v>2.2000000000000002</v>
      </c>
      <c r="G180" s="172">
        <v>3</v>
      </c>
      <c r="H180" s="172">
        <v>12200</v>
      </c>
    </row>
    <row r="181" spans="1:8" ht="15" customHeight="1" x14ac:dyDescent="0.25">
      <c r="A181" s="172">
        <v>42</v>
      </c>
      <c r="B181" s="373">
        <f t="shared" si="75"/>
        <v>15120</v>
      </c>
      <c r="C181" s="176">
        <v>10.199999999999999</v>
      </c>
      <c r="D181" s="172">
        <v>12000</v>
      </c>
      <c r="E181" s="172">
        <v>3.1</v>
      </c>
      <c r="F181" s="172">
        <v>2.2000000000000002</v>
      </c>
      <c r="G181" s="172">
        <v>3</v>
      </c>
      <c r="H181" s="172">
        <v>12200</v>
      </c>
    </row>
    <row r="182" spans="1:8" ht="15" customHeight="1" x14ac:dyDescent="0.25">
      <c r="A182" s="172">
        <v>44</v>
      </c>
      <c r="B182" s="373">
        <f t="shared" si="75"/>
        <v>15840</v>
      </c>
      <c r="C182" s="176">
        <v>11.1</v>
      </c>
      <c r="D182" s="172">
        <v>12000</v>
      </c>
      <c r="E182" s="172">
        <v>3.1</v>
      </c>
      <c r="F182" s="172">
        <v>2.2000000000000002</v>
      </c>
      <c r="G182" s="172">
        <v>3</v>
      </c>
      <c r="H182" s="172">
        <v>12200</v>
      </c>
    </row>
    <row r="183" spans="1:8" ht="15" customHeight="1" x14ac:dyDescent="0.25">
      <c r="A183" s="172">
        <v>46</v>
      </c>
      <c r="B183" s="373">
        <f t="shared" si="75"/>
        <v>16560</v>
      </c>
      <c r="C183" s="176">
        <v>12.1</v>
      </c>
      <c r="D183" s="172">
        <v>12000</v>
      </c>
      <c r="E183" s="172">
        <v>3.1</v>
      </c>
      <c r="F183" s="172">
        <v>2.2000000000000002</v>
      </c>
      <c r="G183" s="172">
        <v>3</v>
      </c>
      <c r="H183" s="172">
        <v>12200</v>
      </c>
    </row>
    <row r="184" spans="1:8" ht="15" customHeight="1" x14ac:dyDescent="0.25">
      <c r="A184" s="172">
        <v>48</v>
      </c>
      <c r="B184" s="373">
        <f t="shared" si="75"/>
        <v>17280</v>
      </c>
      <c r="C184" s="176">
        <v>13.1</v>
      </c>
      <c r="D184" s="172">
        <v>12000</v>
      </c>
      <c r="E184" s="172">
        <v>3.1</v>
      </c>
      <c r="F184" s="172">
        <v>2.2000000000000002</v>
      </c>
      <c r="G184" s="172">
        <v>3</v>
      </c>
      <c r="H184" s="172">
        <v>12200</v>
      </c>
    </row>
    <row r="185" spans="1:8" ht="15" customHeight="1" x14ac:dyDescent="0.25">
      <c r="A185" s="172">
        <v>50</v>
      </c>
      <c r="B185" s="373">
        <f t="shared" si="75"/>
        <v>18000</v>
      </c>
      <c r="C185" s="176">
        <v>14.1</v>
      </c>
      <c r="D185" s="172">
        <v>12000</v>
      </c>
      <c r="E185" s="172">
        <v>3.1</v>
      </c>
      <c r="F185" s="172">
        <v>2.2000000000000002</v>
      </c>
      <c r="G185" s="172">
        <v>3</v>
      </c>
      <c r="H185" s="172">
        <v>12200</v>
      </c>
    </row>
    <row r="186" spans="1:8" ht="15" customHeight="1" x14ac:dyDescent="0.25">
      <c r="A186" s="172">
        <v>52</v>
      </c>
      <c r="B186" s="373">
        <f t="shared" si="75"/>
        <v>18720</v>
      </c>
      <c r="C186" s="176">
        <v>15.2</v>
      </c>
      <c r="D186" s="172">
        <v>12000</v>
      </c>
      <c r="E186" s="172">
        <v>3.1</v>
      </c>
      <c r="F186" s="172">
        <v>2.2000000000000002</v>
      </c>
      <c r="G186" s="172">
        <v>3</v>
      </c>
      <c r="H186" s="172">
        <v>12200</v>
      </c>
    </row>
    <row r="187" spans="1:8" ht="15" customHeight="1" x14ac:dyDescent="0.25">
      <c r="A187" s="172">
        <v>54</v>
      </c>
      <c r="B187" s="373">
        <f t="shared" si="75"/>
        <v>19440</v>
      </c>
      <c r="C187" s="176">
        <v>16.399999999999999</v>
      </c>
      <c r="D187" s="172">
        <v>12000</v>
      </c>
      <c r="E187" s="172">
        <v>3.1</v>
      </c>
      <c r="F187" s="172">
        <v>2.2000000000000002</v>
      </c>
      <c r="G187" s="172">
        <v>3</v>
      </c>
      <c r="H187" s="172">
        <v>12200</v>
      </c>
    </row>
    <row r="188" spans="1:8" ht="15" customHeight="1" x14ac:dyDescent="0.25">
      <c r="A188" s="172">
        <v>56</v>
      </c>
      <c r="B188" s="373">
        <f t="shared" si="75"/>
        <v>20160</v>
      </c>
      <c r="C188" s="176">
        <v>17.600000000000001</v>
      </c>
      <c r="D188" s="172">
        <v>12000</v>
      </c>
      <c r="E188" s="172">
        <v>3.1</v>
      </c>
      <c r="F188" s="172">
        <v>2.2000000000000002</v>
      </c>
      <c r="G188" s="172">
        <v>3</v>
      </c>
      <c r="H188" s="172">
        <v>12200</v>
      </c>
    </row>
    <row r="189" spans="1:8" ht="15" customHeight="1" x14ac:dyDescent="0.25">
      <c r="A189" s="172">
        <v>58</v>
      </c>
      <c r="B189" s="373">
        <f t="shared" si="75"/>
        <v>20880</v>
      </c>
      <c r="C189" s="176">
        <v>18.8</v>
      </c>
      <c r="D189" s="172">
        <v>12000</v>
      </c>
      <c r="E189" s="172">
        <v>3.1</v>
      </c>
      <c r="F189" s="172">
        <v>2.2000000000000002</v>
      </c>
      <c r="G189" s="172">
        <v>3</v>
      </c>
      <c r="H189" s="172">
        <v>12200</v>
      </c>
    </row>
    <row r="190" spans="1:8" ht="15" customHeight="1" x14ac:dyDescent="0.25">
      <c r="A190" s="172">
        <v>60</v>
      </c>
      <c r="B190" s="373">
        <f t="shared" si="75"/>
        <v>21600</v>
      </c>
      <c r="C190" s="176">
        <v>20</v>
      </c>
      <c r="D190" s="172">
        <v>12000</v>
      </c>
      <c r="E190" s="172">
        <v>3.1</v>
      </c>
      <c r="F190" s="172">
        <v>2.2000000000000002</v>
      </c>
      <c r="G190" s="172">
        <v>3</v>
      </c>
      <c r="H190" s="172">
        <v>12200</v>
      </c>
    </row>
    <row r="191" spans="1:8" ht="15" customHeight="1" x14ac:dyDescent="0.25">
      <c r="A191" s="172" t="s">
        <v>121</v>
      </c>
      <c r="B191" s="373"/>
      <c r="C191" s="176"/>
      <c r="D191" s="172"/>
      <c r="E191" s="172"/>
      <c r="F191" s="172"/>
      <c r="G191" s="172">
        <v>1.1000000000000001</v>
      </c>
      <c r="H191" s="172">
        <v>10600</v>
      </c>
    </row>
  </sheetData>
  <sheetProtection password="CDE3" sheet="1" objects="1" scenarios="1"/>
  <phoneticPr fontId="6" type="noConversion"/>
  <conditionalFormatting sqref="A49:J49 K51:L58 D69:J76 D10:J20 C11:C13 C41:C48 K40:N49 D40:J48 C39:N39 D79:N85">
    <cfRule type="expression" dxfId="71" priority="94" stopIfTrue="1">
      <formula>$B10=1</formula>
    </cfRule>
    <cfRule type="expression" dxfId="70" priority="95" stopIfTrue="1">
      <formula>$B10=2</formula>
    </cfRule>
    <cfRule type="expression" dxfId="69" priority="96" stopIfTrue="1">
      <formula>$B10=3</formula>
    </cfRule>
  </conditionalFormatting>
  <conditionalFormatting sqref="B135 C134 A135:A136">
    <cfRule type="expression" dxfId="68" priority="103">
      <formula>$B11=1</formula>
    </cfRule>
    <cfRule type="expression" dxfId="67" priority="104">
      <formula>$B11=2</formula>
    </cfRule>
    <cfRule type="expression" dxfId="66" priority="105">
      <formula>$B11=3</formula>
    </cfRule>
  </conditionalFormatting>
  <conditionalFormatting sqref="A142 B138:B147 C137:C147">
    <cfRule type="expression" dxfId="65" priority="100" stopIfTrue="1">
      <formula>#REF!=1</formula>
    </cfRule>
    <cfRule type="expression" dxfId="64" priority="101" stopIfTrue="1">
      <formula>#REF!=2</formula>
    </cfRule>
    <cfRule type="expression" dxfId="63" priority="102" stopIfTrue="1">
      <formula>#REF!=3</formula>
    </cfRule>
  </conditionalFormatting>
  <conditionalFormatting sqref="A144">
    <cfRule type="expression" dxfId="62" priority="145" stopIfTrue="1">
      <formula>#REF!=1</formula>
    </cfRule>
    <cfRule type="expression" dxfId="61" priority="146" stopIfTrue="1">
      <formula>#REF!=2</formula>
    </cfRule>
    <cfRule type="expression" dxfId="60" priority="147" stopIfTrue="1">
      <formula>#REF!=3</formula>
    </cfRule>
  </conditionalFormatting>
  <conditionalFormatting sqref="A145:A147">
    <cfRule type="expression" dxfId="59" priority="166" stopIfTrue="1">
      <formula>$B22=1</formula>
    </cfRule>
    <cfRule type="expression" dxfId="58" priority="167" stopIfTrue="1">
      <formula>$B22=2</formula>
    </cfRule>
    <cfRule type="expression" dxfId="57" priority="168" stopIfTrue="1">
      <formula>$B22=3</formula>
    </cfRule>
  </conditionalFormatting>
  <conditionalFormatting sqref="D88:J93">
    <cfRule type="expression" dxfId="56" priority="55" stopIfTrue="1">
      <formula>$B88=1</formula>
    </cfRule>
    <cfRule type="expression" dxfId="55" priority="56" stopIfTrue="1">
      <formula>$B88=2</formula>
    </cfRule>
    <cfRule type="expression" dxfId="54" priority="57" stopIfTrue="1">
      <formula>$B88=3</formula>
    </cfRule>
  </conditionalFormatting>
  <conditionalFormatting sqref="C109:J109">
    <cfRule type="expression" dxfId="53" priority="49" stopIfTrue="1">
      <formula>$B109=1</formula>
    </cfRule>
    <cfRule type="expression" dxfId="52" priority="50" stopIfTrue="1">
      <formula>$B109=2</formula>
    </cfRule>
    <cfRule type="expression" dxfId="51" priority="51" stopIfTrue="1">
      <formula>$B109=3</formula>
    </cfRule>
  </conditionalFormatting>
  <conditionalFormatting sqref="C14 C10">
    <cfRule type="expression" dxfId="50" priority="46" stopIfTrue="1">
      <formula>$B10=1</formula>
    </cfRule>
    <cfRule type="expression" dxfId="49" priority="47" stopIfTrue="1">
      <formula>$B10=2</formula>
    </cfRule>
    <cfRule type="expression" dxfId="48" priority="48" stopIfTrue="1">
      <formula>$B10=3</formula>
    </cfRule>
  </conditionalFormatting>
  <conditionalFormatting sqref="C15:C20">
    <cfRule type="expression" dxfId="47" priority="43" stopIfTrue="1">
      <formula>$B15=1</formula>
    </cfRule>
    <cfRule type="expression" dxfId="46" priority="44" stopIfTrue="1">
      <formula>$B15=2</formula>
    </cfRule>
    <cfRule type="expression" dxfId="45" priority="45" stopIfTrue="1">
      <formula>$B15=3</formula>
    </cfRule>
  </conditionalFormatting>
  <conditionalFormatting sqref="A143">
    <cfRule type="expression" dxfId="44" priority="169" stopIfTrue="1">
      <formula>$B20=1</formula>
    </cfRule>
    <cfRule type="expression" dxfId="43" priority="170" stopIfTrue="1">
      <formula>$B20=2</formula>
    </cfRule>
    <cfRule type="expression" dxfId="42" priority="171" stopIfTrue="1">
      <formula>$B20=3</formula>
    </cfRule>
  </conditionalFormatting>
  <conditionalFormatting sqref="D26:J36 C23:J24">
    <cfRule type="expression" dxfId="41" priority="40" stopIfTrue="1">
      <formula>$B23=1</formula>
    </cfRule>
    <cfRule type="expression" dxfId="40" priority="41" stopIfTrue="1">
      <formula>$B23=2</formula>
    </cfRule>
    <cfRule type="expression" dxfId="39" priority="42" stopIfTrue="1">
      <formula>$B23=3</formula>
    </cfRule>
  </conditionalFormatting>
  <conditionalFormatting sqref="C26:C36">
    <cfRule type="expression" dxfId="38" priority="37" stopIfTrue="1">
      <formula>$B26=1</formula>
    </cfRule>
    <cfRule type="expression" dxfId="37" priority="38" stopIfTrue="1">
      <formula>$B26=2</formula>
    </cfRule>
    <cfRule type="expression" dxfId="36" priority="39" stopIfTrue="1">
      <formula>$B26=3</formula>
    </cfRule>
  </conditionalFormatting>
  <conditionalFormatting sqref="A139:A141">
    <cfRule type="expression" dxfId="35" priority="172">
      <formula>$B15=1</formula>
    </cfRule>
    <cfRule type="expression" dxfId="34" priority="173">
      <formula>$B15=2</formula>
    </cfRule>
    <cfRule type="expression" dxfId="33" priority="174">
      <formula>$B15=3</formula>
    </cfRule>
  </conditionalFormatting>
  <conditionalFormatting sqref="C40">
    <cfRule type="expression" dxfId="32" priority="34" stopIfTrue="1">
      <formula>$B40=1</formula>
    </cfRule>
    <cfRule type="expression" dxfId="31" priority="35" stopIfTrue="1">
      <formula>$B40=2</formula>
    </cfRule>
    <cfRule type="expression" dxfId="30" priority="36" stopIfTrue="1">
      <formula>$B40=3</formula>
    </cfRule>
  </conditionalFormatting>
  <conditionalFormatting sqref="D51:J58 C54">
    <cfRule type="expression" dxfId="29" priority="28" stopIfTrue="1">
      <formula>$B51=1</formula>
    </cfRule>
    <cfRule type="expression" dxfId="28" priority="29" stopIfTrue="1">
      <formula>$B51=2</formula>
    </cfRule>
    <cfRule type="expression" dxfId="27" priority="30" stopIfTrue="1">
      <formula>$B51=3</formula>
    </cfRule>
  </conditionalFormatting>
  <conditionalFormatting sqref="C51:C53 C55:C58">
    <cfRule type="expression" dxfId="26" priority="25" stopIfTrue="1">
      <formula>$B51=1</formula>
    </cfRule>
    <cfRule type="expression" dxfId="25" priority="26" stopIfTrue="1">
      <formula>$B51=2</formula>
    </cfRule>
    <cfRule type="expression" dxfId="24" priority="27" stopIfTrue="1">
      <formula>$B51=3</formula>
    </cfRule>
  </conditionalFormatting>
  <conditionalFormatting sqref="D61:J66">
    <cfRule type="expression" dxfId="23" priority="22" stopIfTrue="1">
      <formula>$B61=1</formula>
    </cfRule>
    <cfRule type="expression" dxfId="22" priority="23" stopIfTrue="1">
      <formula>$B61=2</formula>
    </cfRule>
    <cfRule type="expression" dxfId="21" priority="24" stopIfTrue="1">
      <formula>$B61=3</formula>
    </cfRule>
  </conditionalFormatting>
  <conditionalFormatting sqref="C61:C66">
    <cfRule type="expression" dxfId="20" priority="19" stopIfTrue="1">
      <formula>$B61=1</formula>
    </cfRule>
    <cfRule type="expression" dxfId="19" priority="20" stopIfTrue="1">
      <formula>$B61=2</formula>
    </cfRule>
    <cfRule type="expression" dxfId="18" priority="21" stopIfTrue="1">
      <formula>$B61=3</formula>
    </cfRule>
  </conditionalFormatting>
  <conditionalFormatting sqref="C88:C93">
    <cfRule type="expression" dxfId="17" priority="7" stopIfTrue="1">
      <formula>$B88=1</formula>
    </cfRule>
    <cfRule type="expression" dxfId="16" priority="8" stopIfTrue="1">
      <formula>$B88=2</formula>
    </cfRule>
    <cfRule type="expression" dxfId="15" priority="9" stopIfTrue="1">
      <formula>$B88=3</formula>
    </cfRule>
  </conditionalFormatting>
  <conditionalFormatting sqref="C69:C76">
    <cfRule type="expression" dxfId="14" priority="16" stopIfTrue="1">
      <formula>$B69=1</formula>
    </cfRule>
    <cfRule type="expression" dxfId="13" priority="17" stopIfTrue="1">
      <formula>$B69=2</formula>
    </cfRule>
    <cfRule type="expression" dxfId="12" priority="18" stopIfTrue="1">
      <formula>$B69=3</formula>
    </cfRule>
  </conditionalFormatting>
  <conditionalFormatting sqref="C79">
    <cfRule type="expression" dxfId="11" priority="13" stopIfTrue="1">
      <formula>$B79=1</formula>
    </cfRule>
    <cfRule type="expression" dxfId="10" priority="14" stopIfTrue="1">
      <formula>$B79=2</formula>
    </cfRule>
    <cfRule type="expression" dxfId="9" priority="15" stopIfTrue="1">
      <formula>$B79=3</formula>
    </cfRule>
  </conditionalFormatting>
  <conditionalFormatting sqref="C80:C85">
    <cfRule type="expression" dxfId="8" priority="10" stopIfTrue="1">
      <formula>$B80=1</formula>
    </cfRule>
    <cfRule type="expression" dxfId="7" priority="11" stopIfTrue="1">
      <formula>$B80=2</formula>
    </cfRule>
    <cfRule type="expression" dxfId="6" priority="12" stopIfTrue="1">
      <formula>$B80=3</formula>
    </cfRule>
  </conditionalFormatting>
  <conditionalFormatting sqref="D104:J107">
    <cfRule type="expression" dxfId="5" priority="175" stopIfTrue="1">
      <formula>#REF!=1</formula>
    </cfRule>
    <cfRule type="expression" dxfId="4" priority="176" stopIfTrue="1">
      <formula>#REF!=2</formula>
    </cfRule>
    <cfRule type="expression" dxfId="3" priority="177" stopIfTrue="1">
      <formula>#REF!=3</formula>
    </cfRule>
  </conditionalFormatting>
  <conditionalFormatting sqref="C104:C107">
    <cfRule type="expression" dxfId="2" priority="4" stopIfTrue="1">
      <formula>#REF!=1</formula>
    </cfRule>
    <cfRule type="expression" dxfId="1" priority="5" stopIfTrue="1">
      <formula>#REF!=2</formula>
    </cfRule>
    <cfRule type="expression" dxfId="0" priority="6" stopIfTrue="1">
      <formula>#REF!=3</formula>
    </cfRule>
  </conditionalFormatting>
  <printOptions horizontalCentered="1"/>
  <pageMargins left="0.70866141732283472" right="0.70866141732283472" top="0.78740157480314965" bottom="0.78740157480314965" header="0.31496062992125984" footer="0.31496062992125984"/>
  <pageSetup paperSize="9" scale="56" fitToHeight="2" orientation="landscape" r:id="rId1"/>
  <headerFooter alignWithMargins="0">
    <oddHeader>&amp;C&amp;F
&amp;A</oddHeader>
    <oddFooter>&amp;C&amp;Pvon&amp;N</oddFooter>
  </headerFooter>
  <rowBreaks count="1" manualBreakCount="1">
    <brk id="58" max="9"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Erläuterungen</vt:lpstr>
      <vt:lpstr>Melkkar und Herde</vt:lpstr>
      <vt:lpstr>AKh</vt:lpstr>
      <vt:lpstr>Wasser</vt:lpstr>
      <vt:lpstr>Energie</vt:lpstr>
      <vt:lpstr>Energie!Druckbereich</vt:lpstr>
      <vt:lpstr>Wasser!Druckbereich</vt:lpstr>
      <vt:lpstr>AKh!Drucktitel</vt:lpstr>
      <vt:lpstr>Energie!Drucktitel</vt:lpstr>
    </vt:vector>
  </TitlesOfParts>
  <Company>KTBL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rp10</dc:creator>
  <cp:lastModifiedBy>rp10</cp:lastModifiedBy>
  <cp:lastPrinted>2015-01-28T09:08:32Z</cp:lastPrinted>
  <dcterms:created xsi:type="dcterms:W3CDTF">2012-02-02T08:19:00Z</dcterms:created>
  <dcterms:modified xsi:type="dcterms:W3CDTF">2015-01-28T09:31:31Z</dcterms:modified>
</cp:coreProperties>
</file>