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245" yWindow="90" windowWidth="10245" windowHeight="8070" activeTab="2"/>
  </bookViews>
  <sheets>
    <sheet name="Erläuterungen" sheetId="27" r:id="rId1"/>
    <sheet name="Melkstand und Herde" sheetId="18" r:id="rId2"/>
    <sheet name="Arbeitszeit" sheetId="15" r:id="rId3"/>
    <sheet name="Wasser" sheetId="17" r:id="rId4"/>
    <sheet name="Energie" sheetId="25" r:id="rId5"/>
  </sheets>
  <definedNames>
    <definedName name="_xlnm.Print_Area" localSheetId="4">Energie!$A$1:$O$87</definedName>
    <definedName name="_xlnm.Print_Area" localSheetId="3">Wasser!$A$1:$O$26</definedName>
    <definedName name="_xlnm.Print_Titles" localSheetId="2">Arbeitszeit!$1:$4</definedName>
    <definedName name="_xlnm.Print_Titles" localSheetId="4">Energie!$1:$4</definedName>
  </definedNames>
  <calcPr calcId="145621"/>
</workbook>
</file>

<file path=xl/calcChain.xml><?xml version="1.0" encoding="utf-8"?>
<calcChain xmlns="http://schemas.openxmlformats.org/spreadsheetml/2006/main">
  <c r="C3" i="17" l="1"/>
  <c r="D3" i="17"/>
  <c r="E3" i="17"/>
  <c r="F3" i="17"/>
  <c r="G3" i="17"/>
  <c r="H3" i="17"/>
  <c r="I3" i="17"/>
  <c r="J3" i="17"/>
  <c r="C4" i="17"/>
  <c r="D4" i="17"/>
  <c r="E4" i="17"/>
  <c r="F4" i="17"/>
  <c r="G4" i="17"/>
  <c r="H4" i="17"/>
  <c r="I4" i="17"/>
  <c r="J4" i="17"/>
  <c r="C10" i="25" l="1"/>
  <c r="C23" i="25" s="1"/>
  <c r="C24" i="25" s="1"/>
  <c r="C8" i="17"/>
  <c r="C11" i="17" s="1"/>
  <c r="C16" i="17" s="1"/>
  <c r="C17" i="17" s="1"/>
  <c r="C61" i="15"/>
  <c r="C63" i="15" s="1"/>
  <c r="C64" i="15" s="1"/>
  <c r="C54" i="15"/>
  <c r="C56" i="15" s="1"/>
  <c r="C57" i="15" s="1"/>
  <c r="C40" i="15"/>
  <c r="C36" i="15"/>
  <c r="C35" i="15"/>
  <c r="C34" i="15"/>
  <c r="C33" i="15"/>
  <c r="C32" i="15"/>
  <c r="C31" i="15"/>
  <c r="C30" i="15"/>
  <c r="C28" i="15"/>
  <c r="C41" i="15" s="1"/>
  <c r="C12" i="15"/>
  <c r="C10" i="15"/>
  <c r="C8" i="15"/>
  <c r="C6" i="15"/>
  <c r="C5" i="15"/>
  <c r="C4" i="15"/>
  <c r="C3" i="15"/>
  <c r="C2" i="15"/>
  <c r="C2" i="17"/>
  <c r="C44" i="25"/>
  <c r="C29" i="25"/>
  <c r="C31" i="25" s="1"/>
  <c r="C6" i="25"/>
  <c r="C4" i="25"/>
  <c r="C3" i="25"/>
  <c r="C2" i="25"/>
  <c r="C9" i="18"/>
  <c r="C7" i="25" s="1"/>
  <c r="C7" i="18"/>
  <c r="C42" i="15" l="1"/>
  <c r="C26" i="25"/>
  <c r="C51" i="25"/>
  <c r="C53" i="25" s="1"/>
  <c r="C37" i="15"/>
  <c r="C19" i="17"/>
  <c r="C18" i="17"/>
  <c r="C25" i="25"/>
  <c r="C7" i="15"/>
  <c r="C77" i="15"/>
  <c r="C16" i="18"/>
  <c r="C5" i="25"/>
  <c r="C11" i="25"/>
  <c r="C12" i="25" s="1"/>
  <c r="C10" i="18"/>
  <c r="C39" i="25"/>
  <c r="C75" i="15"/>
  <c r="C55" i="15"/>
  <c r="C62" i="15"/>
  <c r="E2" i="25"/>
  <c r="F2" i="25"/>
  <c r="G2" i="25"/>
  <c r="H2" i="25"/>
  <c r="I2" i="25"/>
  <c r="J2" i="25"/>
  <c r="K2" i="25"/>
  <c r="L2" i="25"/>
  <c r="M2" i="25"/>
  <c r="N2" i="25"/>
  <c r="O2" i="25"/>
  <c r="D2" i="25"/>
  <c r="O3" i="17"/>
  <c r="N3" i="17"/>
  <c r="M3" i="17"/>
  <c r="L3" i="17"/>
  <c r="K3" i="17"/>
  <c r="O2" i="17"/>
  <c r="N2" i="17"/>
  <c r="M2" i="17"/>
  <c r="L2" i="17"/>
  <c r="K2" i="17"/>
  <c r="J2" i="17"/>
  <c r="I2" i="17"/>
  <c r="H2" i="17"/>
  <c r="G2" i="17"/>
  <c r="F2" i="17"/>
  <c r="E2" i="17"/>
  <c r="D2" i="17"/>
  <c r="C20" i="17" l="1"/>
  <c r="C40" i="25"/>
  <c r="C13" i="18"/>
  <c r="C9" i="15"/>
  <c r="C23" i="17"/>
  <c r="C25" i="17" s="1"/>
  <c r="C69" i="25" s="1"/>
  <c r="C72" i="25" s="1"/>
  <c r="C61" i="25"/>
  <c r="C63" i="25" s="1"/>
  <c r="C48" i="15"/>
  <c r="C67" i="15"/>
  <c r="C68" i="15" s="1"/>
  <c r="C78" i="15" s="1"/>
  <c r="C82" i="15"/>
  <c r="C89" i="15"/>
  <c r="C28" i="25"/>
  <c r="C32" i="25" s="1"/>
  <c r="C33" i="25" s="1"/>
  <c r="C84" i="15"/>
  <c r="C91" i="15"/>
  <c r="O28" i="15"/>
  <c r="N28" i="15"/>
  <c r="M28" i="15"/>
  <c r="L28" i="15"/>
  <c r="K28" i="15"/>
  <c r="J28" i="15"/>
  <c r="I28" i="15"/>
  <c r="H28" i="15"/>
  <c r="G28" i="15"/>
  <c r="F28" i="15"/>
  <c r="E28" i="15"/>
  <c r="D28" i="15"/>
  <c r="C45" i="25" l="1"/>
  <c r="C47" i="25" s="1"/>
  <c r="C43" i="25"/>
  <c r="C83" i="25"/>
  <c r="C74" i="25"/>
  <c r="C73" i="25"/>
  <c r="C75" i="25"/>
  <c r="C79" i="25"/>
  <c r="C35" i="25"/>
  <c r="C34" i="25"/>
  <c r="C36" i="25"/>
  <c r="C65" i="25"/>
  <c r="C82" i="25"/>
  <c r="C64" i="25"/>
  <c r="C66" i="25"/>
  <c r="C92" i="15"/>
  <c r="C85" i="15"/>
  <c r="C11" i="15"/>
  <c r="C15" i="18"/>
  <c r="C13" i="15" s="1"/>
  <c r="C43" i="15" s="1"/>
  <c r="C46" i="15" s="1"/>
  <c r="E2" i="15"/>
  <c r="F2" i="15"/>
  <c r="G2" i="15"/>
  <c r="H2" i="15"/>
  <c r="I2" i="15"/>
  <c r="J2" i="15"/>
  <c r="K2" i="15"/>
  <c r="L2" i="15"/>
  <c r="M2" i="15"/>
  <c r="N2" i="15"/>
  <c r="O2" i="15"/>
  <c r="D2" i="15"/>
  <c r="D3" i="15"/>
  <c r="E3" i="15"/>
  <c r="F3" i="15"/>
  <c r="G3" i="15"/>
  <c r="H3" i="15"/>
  <c r="I3" i="15"/>
  <c r="J3" i="15"/>
  <c r="K3" i="15"/>
  <c r="L3" i="15"/>
  <c r="M3" i="15"/>
  <c r="N3" i="15"/>
  <c r="D4" i="15"/>
  <c r="E4" i="15"/>
  <c r="F4" i="15"/>
  <c r="G4" i="15"/>
  <c r="H4" i="15"/>
  <c r="I4" i="15"/>
  <c r="J4" i="15"/>
  <c r="K4" i="15"/>
  <c r="L4" i="15"/>
  <c r="M4" i="15"/>
  <c r="N4" i="15"/>
  <c r="C46" i="25" l="1"/>
  <c r="C48" i="25"/>
  <c r="C80" i="25"/>
  <c r="C47" i="15"/>
  <c r="C49" i="15"/>
  <c r="E7" i="18"/>
  <c r="F7" i="18"/>
  <c r="G7" i="18"/>
  <c r="H7" i="18"/>
  <c r="I7" i="18"/>
  <c r="J7" i="18"/>
  <c r="K7" i="18"/>
  <c r="L7" i="18"/>
  <c r="M7" i="18"/>
  <c r="N7" i="18"/>
  <c r="O7" i="18"/>
  <c r="D7" i="18"/>
  <c r="C50" i="15" l="1"/>
  <c r="C71" i="15"/>
  <c r="C72" i="15" s="1"/>
  <c r="C54" i="25" s="1"/>
  <c r="C55" i="25" s="1"/>
  <c r="B83" i="25"/>
  <c r="B82" i="25"/>
  <c r="B81" i="25"/>
  <c r="B80" i="25"/>
  <c r="B79" i="25"/>
  <c r="B78" i="25"/>
  <c r="O44" i="25"/>
  <c r="N44" i="25"/>
  <c r="M44" i="25"/>
  <c r="L44" i="25"/>
  <c r="K44" i="25"/>
  <c r="J44" i="25"/>
  <c r="I44" i="25"/>
  <c r="H44" i="25"/>
  <c r="G44" i="25"/>
  <c r="F44" i="25"/>
  <c r="E44" i="25"/>
  <c r="D44" i="25"/>
  <c r="B218" i="25"/>
  <c r="B217" i="25"/>
  <c r="B216" i="25"/>
  <c r="B215" i="25"/>
  <c r="B214" i="25"/>
  <c r="B213" i="25"/>
  <c r="B212" i="25"/>
  <c r="B211" i="25"/>
  <c r="B210" i="25"/>
  <c r="B209" i="25"/>
  <c r="B208" i="25"/>
  <c r="B207" i="25"/>
  <c r="B206" i="25"/>
  <c r="B205" i="25"/>
  <c r="B204" i="25"/>
  <c r="B203" i="25"/>
  <c r="B202" i="25"/>
  <c r="B201" i="25"/>
  <c r="B200" i="25"/>
  <c r="B199" i="25"/>
  <c r="B198" i="25"/>
  <c r="B197" i="25"/>
  <c r="B196" i="25"/>
  <c r="B195" i="25"/>
  <c r="B194" i="25"/>
  <c r="B193" i="25"/>
  <c r="B192" i="25"/>
  <c r="B191" i="25"/>
  <c r="B190" i="25"/>
  <c r="O29" i="25"/>
  <c r="O31" i="25" s="1"/>
  <c r="N29" i="25"/>
  <c r="N31" i="25" s="1"/>
  <c r="M29" i="25"/>
  <c r="M31" i="25" s="1"/>
  <c r="L29" i="25"/>
  <c r="L31" i="25" s="1"/>
  <c r="K29" i="25"/>
  <c r="K31" i="25" s="1"/>
  <c r="J29" i="25"/>
  <c r="J31" i="25" s="1"/>
  <c r="I29" i="25"/>
  <c r="I31" i="25" s="1"/>
  <c r="H29" i="25"/>
  <c r="H31" i="25" s="1"/>
  <c r="G29" i="25"/>
  <c r="G31" i="25" s="1"/>
  <c r="F29" i="25"/>
  <c r="F31" i="25" s="1"/>
  <c r="E29" i="25"/>
  <c r="E31" i="25" s="1"/>
  <c r="D29" i="25"/>
  <c r="D31" i="25" s="1"/>
  <c r="B189" i="25"/>
  <c r="B188" i="25"/>
  <c r="B187" i="25"/>
  <c r="B186" i="25"/>
  <c r="B185" i="25"/>
  <c r="B184" i="25"/>
  <c r="B183" i="25"/>
  <c r="B182" i="25"/>
  <c r="B180" i="25"/>
  <c r="B179" i="25"/>
  <c r="B178" i="25"/>
  <c r="O10" i="25"/>
  <c r="N10" i="25"/>
  <c r="M10" i="25"/>
  <c r="L10" i="25"/>
  <c r="K10" i="25"/>
  <c r="J10" i="25"/>
  <c r="I10" i="25"/>
  <c r="H10" i="25"/>
  <c r="G10" i="25"/>
  <c r="F10" i="25"/>
  <c r="E10" i="25"/>
  <c r="D10" i="25"/>
  <c r="O6" i="25"/>
  <c r="N6" i="25"/>
  <c r="M6" i="25"/>
  <c r="L6" i="25"/>
  <c r="K6" i="25"/>
  <c r="J6" i="25"/>
  <c r="I6" i="25"/>
  <c r="H6" i="25"/>
  <c r="G6" i="25"/>
  <c r="F6" i="25"/>
  <c r="E6" i="25"/>
  <c r="D6" i="25"/>
  <c r="O5" i="25"/>
  <c r="N5" i="25"/>
  <c r="M5" i="25"/>
  <c r="L5" i="25"/>
  <c r="K5" i="25"/>
  <c r="J5" i="25"/>
  <c r="I5" i="25"/>
  <c r="H5" i="25"/>
  <c r="G5" i="25"/>
  <c r="F5" i="25"/>
  <c r="E5" i="25"/>
  <c r="D5" i="25"/>
  <c r="O4" i="25"/>
  <c r="N4" i="25"/>
  <c r="M4" i="25"/>
  <c r="L4" i="25"/>
  <c r="K4" i="25"/>
  <c r="J4" i="25"/>
  <c r="I4" i="25"/>
  <c r="H4" i="25"/>
  <c r="G4" i="25"/>
  <c r="F4" i="25"/>
  <c r="E4" i="25"/>
  <c r="D4" i="25"/>
  <c r="O3" i="25"/>
  <c r="N3" i="25"/>
  <c r="M3" i="25"/>
  <c r="L3" i="25"/>
  <c r="K3" i="25"/>
  <c r="J3" i="25"/>
  <c r="I3" i="25"/>
  <c r="H3" i="25"/>
  <c r="G3" i="25"/>
  <c r="F3" i="25"/>
  <c r="E3" i="25"/>
  <c r="D3" i="25"/>
  <c r="C57" i="25" l="1"/>
  <c r="C81" i="25"/>
  <c r="C56" i="25"/>
  <c r="C58" i="25"/>
  <c r="C76" i="15"/>
  <c r="C90" i="15" s="1"/>
  <c r="C93" i="15" s="1"/>
  <c r="C14" i="25"/>
  <c r="C17" i="25" s="1"/>
  <c r="D51" i="25"/>
  <c r="D53" i="25" s="1"/>
  <c r="D39" i="25"/>
  <c r="F51" i="25"/>
  <c r="F53" i="25" s="1"/>
  <c r="F39" i="25"/>
  <c r="H51" i="25"/>
  <c r="H53" i="25" s="1"/>
  <c r="H39" i="25"/>
  <c r="J51" i="25"/>
  <c r="J53" i="25" s="1"/>
  <c r="J39" i="25"/>
  <c r="L51" i="25"/>
  <c r="L53" i="25" s="1"/>
  <c r="L39" i="25"/>
  <c r="N51" i="25"/>
  <c r="N53" i="25" s="1"/>
  <c r="N39" i="25"/>
  <c r="D11" i="25"/>
  <c r="F11" i="25"/>
  <c r="H11" i="25"/>
  <c r="J11" i="25"/>
  <c r="L11" i="25"/>
  <c r="N11" i="25"/>
  <c r="D23" i="25"/>
  <c r="D26" i="25" s="1"/>
  <c r="F23" i="25"/>
  <c r="F26" i="25" s="1"/>
  <c r="H23" i="25"/>
  <c r="H26" i="25" s="1"/>
  <c r="J23" i="25"/>
  <c r="J26" i="25" s="1"/>
  <c r="L23" i="25"/>
  <c r="L26" i="25" s="1"/>
  <c r="N23" i="25"/>
  <c r="N26" i="25" s="1"/>
  <c r="E51" i="25"/>
  <c r="E53" i="25" s="1"/>
  <c r="E39" i="25"/>
  <c r="G51" i="25"/>
  <c r="G53" i="25" s="1"/>
  <c r="G39" i="25"/>
  <c r="I51" i="25"/>
  <c r="I53" i="25" s="1"/>
  <c r="I39" i="25"/>
  <c r="K51" i="25"/>
  <c r="K53" i="25" s="1"/>
  <c r="K39" i="25"/>
  <c r="M51" i="25"/>
  <c r="M53" i="25" s="1"/>
  <c r="M39" i="25"/>
  <c r="O51" i="25"/>
  <c r="O53" i="25" s="1"/>
  <c r="O39" i="25"/>
  <c r="E11" i="25"/>
  <c r="G11" i="25"/>
  <c r="I11" i="25"/>
  <c r="K11" i="25"/>
  <c r="M11" i="25"/>
  <c r="O11" i="25"/>
  <c r="E23" i="25"/>
  <c r="E26" i="25" s="1"/>
  <c r="G23" i="25"/>
  <c r="G26" i="25" s="1"/>
  <c r="I23" i="25"/>
  <c r="I26" i="25" s="1"/>
  <c r="K23" i="25"/>
  <c r="K26" i="25" s="1"/>
  <c r="M23" i="25"/>
  <c r="M26" i="25" s="1"/>
  <c r="O23" i="25"/>
  <c r="O26" i="25" s="1"/>
  <c r="C79" i="15" l="1"/>
  <c r="C95" i="15" s="1"/>
  <c r="C83" i="15"/>
  <c r="C86" i="15" s="1"/>
  <c r="C78" i="25"/>
  <c r="C20" i="25"/>
  <c r="C87" i="25" s="1"/>
  <c r="C19" i="25"/>
  <c r="C86" i="25" s="1"/>
  <c r="C18" i="25"/>
  <c r="C85" i="25" s="1"/>
  <c r="C84" i="25"/>
  <c r="C89" i="25" s="1"/>
  <c r="M24" i="25"/>
  <c r="I24" i="25"/>
  <c r="E24" i="25"/>
  <c r="M12" i="25"/>
  <c r="I12" i="25"/>
  <c r="E12" i="25"/>
  <c r="L24" i="25"/>
  <c r="H24" i="25"/>
  <c r="D24" i="25"/>
  <c r="L12" i="25"/>
  <c r="H12" i="25"/>
  <c r="D12" i="25"/>
  <c r="O24" i="25"/>
  <c r="K24" i="25"/>
  <c r="G24" i="25"/>
  <c r="O12" i="25"/>
  <c r="K12" i="25"/>
  <c r="G12" i="25"/>
  <c r="N24" i="25"/>
  <c r="J24" i="25"/>
  <c r="F24" i="25"/>
  <c r="N12" i="25"/>
  <c r="J12" i="25"/>
  <c r="F12" i="25"/>
  <c r="E61" i="15"/>
  <c r="F61" i="15"/>
  <c r="G61" i="15"/>
  <c r="H61" i="15"/>
  <c r="I61" i="15"/>
  <c r="J61" i="15"/>
  <c r="K61" i="15"/>
  <c r="L61" i="15"/>
  <c r="M61" i="15"/>
  <c r="N61" i="15"/>
  <c r="O61" i="15"/>
  <c r="D61" i="15"/>
  <c r="E54" i="15" l="1"/>
  <c r="F54" i="15"/>
  <c r="G54" i="15"/>
  <c r="H54" i="15"/>
  <c r="I54" i="15"/>
  <c r="J54" i="15"/>
  <c r="K54" i="15"/>
  <c r="L54" i="15"/>
  <c r="M54" i="15"/>
  <c r="N54" i="15"/>
  <c r="O54" i="15"/>
  <c r="D54" i="15"/>
  <c r="E8" i="17" l="1"/>
  <c r="F8" i="17"/>
  <c r="F11" i="17" s="1"/>
  <c r="G8" i="17"/>
  <c r="H8" i="17"/>
  <c r="H11" i="17" s="1"/>
  <c r="I8" i="17"/>
  <c r="J8" i="17"/>
  <c r="J11" i="17" s="1"/>
  <c r="K8" i="17"/>
  <c r="L8" i="17"/>
  <c r="L11" i="17" s="1"/>
  <c r="M8" i="17"/>
  <c r="N8" i="17"/>
  <c r="N11" i="17" s="1"/>
  <c r="O8" i="17"/>
  <c r="D63" i="15"/>
  <c r="D62" i="15" s="1"/>
  <c r="E63" i="15"/>
  <c r="E77" i="15" s="1"/>
  <c r="F63" i="15"/>
  <c r="F64" i="15" s="1"/>
  <c r="G63" i="15"/>
  <c r="G64" i="15" s="1"/>
  <c r="H63" i="15"/>
  <c r="H64" i="15" s="1"/>
  <c r="I63" i="15"/>
  <c r="I77" i="15" s="1"/>
  <c r="J63" i="15"/>
  <c r="J64" i="15" s="1"/>
  <c r="K63" i="15"/>
  <c r="K62" i="15" s="1"/>
  <c r="L63" i="15"/>
  <c r="L64" i="15" s="1"/>
  <c r="M63" i="15"/>
  <c r="M77" i="15" s="1"/>
  <c r="M91" i="15" s="1"/>
  <c r="N63" i="15"/>
  <c r="N64" i="15" s="1"/>
  <c r="O63" i="15"/>
  <c r="O64" i="15" s="1"/>
  <c r="E56" i="15"/>
  <c r="E55" i="15" s="1"/>
  <c r="F56" i="15"/>
  <c r="F55" i="15" s="1"/>
  <c r="G56" i="15"/>
  <c r="H56" i="15"/>
  <c r="H55" i="15" s="1"/>
  <c r="I56" i="15"/>
  <c r="I55" i="15" s="1"/>
  <c r="J56" i="15"/>
  <c r="J55" i="15" s="1"/>
  <c r="K56" i="15"/>
  <c r="K55" i="15" s="1"/>
  <c r="L56" i="15"/>
  <c r="L55" i="15" s="1"/>
  <c r="M56" i="15"/>
  <c r="M55" i="15" s="1"/>
  <c r="N56" i="15"/>
  <c r="N55" i="15" s="1"/>
  <c r="O56" i="15"/>
  <c r="O55" i="15" s="1"/>
  <c r="F30" i="15"/>
  <c r="G30" i="15"/>
  <c r="H30" i="15"/>
  <c r="I30" i="15"/>
  <c r="J30" i="15"/>
  <c r="K30" i="15"/>
  <c r="L30" i="15"/>
  <c r="M30" i="15"/>
  <c r="N30" i="15"/>
  <c r="O30" i="15"/>
  <c r="F32" i="15"/>
  <c r="G32" i="15"/>
  <c r="H32" i="15"/>
  <c r="I32" i="15"/>
  <c r="J32" i="15"/>
  <c r="K32" i="15"/>
  <c r="L32" i="15"/>
  <c r="M32" i="15"/>
  <c r="N32" i="15"/>
  <c r="O32" i="15"/>
  <c r="F33" i="15"/>
  <c r="G33" i="15"/>
  <c r="H33" i="15"/>
  <c r="I33" i="15"/>
  <c r="J33" i="15"/>
  <c r="K33" i="15"/>
  <c r="L33" i="15"/>
  <c r="M33" i="15"/>
  <c r="N33" i="15"/>
  <c r="O33" i="15"/>
  <c r="F34" i="15"/>
  <c r="G34" i="15"/>
  <c r="H34" i="15"/>
  <c r="I34" i="15"/>
  <c r="J34" i="15"/>
  <c r="K34" i="15"/>
  <c r="L34" i="15"/>
  <c r="M34" i="15"/>
  <c r="N34" i="15"/>
  <c r="O34" i="15"/>
  <c r="F35" i="15"/>
  <c r="G35" i="15"/>
  <c r="H35" i="15"/>
  <c r="I35" i="15"/>
  <c r="J35" i="15"/>
  <c r="K35" i="15"/>
  <c r="L35" i="15"/>
  <c r="M35" i="15"/>
  <c r="N35" i="15"/>
  <c r="O35" i="15"/>
  <c r="F36" i="15"/>
  <c r="G36" i="15"/>
  <c r="H36" i="15"/>
  <c r="I36" i="15"/>
  <c r="J36" i="15"/>
  <c r="K36" i="15"/>
  <c r="L36" i="15"/>
  <c r="M36" i="15"/>
  <c r="N36" i="15"/>
  <c r="O36" i="15"/>
  <c r="O3" i="15"/>
  <c r="O4" i="15"/>
  <c r="E5" i="15"/>
  <c r="F5" i="15"/>
  <c r="G5" i="15"/>
  <c r="H5" i="15"/>
  <c r="I5" i="15"/>
  <c r="J5" i="15"/>
  <c r="K5" i="15"/>
  <c r="L5" i="15"/>
  <c r="M5" i="15"/>
  <c r="N5" i="15"/>
  <c r="O5" i="15"/>
  <c r="E6" i="15"/>
  <c r="F6" i="15"/>
  <c r="G6" i="15"/>
  <c r="H6" i="15"/>
  <c r="I6" i="15"/>
  <c r="J6" i="15"/>
  <c r="K6" i="15"/>
  <c r="L6" i="15"/>
  <c r="M6" i="15"/>
  <c r="N6" i="15"/>
  <c r="O6" i="15"/>
  <c r="E8" i="15"/>
  <c r="F8" i="15"/>
  <c r="G8" i="15"/>
  <c r="H8" i="15"/>
  <c r="I8" i="15"/>
  <c r="J8" i="15"/>
  <c r="K8" i="15"/>
  <c r="L8" i="15"/>
  <c r="M8" i="15"/>
  <c r="N8" i="15"/>
  <c r="O8" i="15"/>
  <c r="E10" i="15"/>
  <c r="F10" i="15"/>
  <c r="G10" i="15"/>
  <c r="H10" i="15"/>
  <c r="I10" i="15"/>
  <c r="J10" i="15"/>
  <c r="K10" i="15"/>
  <c r="L10" i="15"/>
  <c r="M10" i="15"/>
  <c r="N10" i="15"/>
  <c r="O10" i="15"/>
  <c r="E12" i="15"/>
  <c r="F12" i="15"/>
  <c r="G12" i="15"/>
  <c r="H12" i="15"/>
  <c r="I12" i="15"/>
  <c r="J12" i="15"/>
  <c r="K12" i="15"/>
  <c r="L12" i="15"/>
  <c r="M12" i="15"/>
  <c r="N12" i="15"/>
  <c r="O12" i="15"/>
  <c r="G55" i="15" l="1"/>
  <c r="G57" i="15"/>
  <c r="H62" i="15"/>
  <c r="I57" i="15"/>
  <c r="L62" i="15"/>
  <c r="K57" i="15"/>
  <c r="J57" i="15"/>
  <c r="O57" i="15"/>
  <c r="J16" i="17"/>
  <c r="J17" i="17" s="1"/>
  <c r="J18" i="17" s="1"/>
  <c r="L16" i="17"/>
  <c r="L17" i="17" s="1"/>
  <c r="H16" i="17"/>
  <c r="H17" i="17" s="1"/>
  <c r="H19" i="17" s="1"/>
  <c r="N16" i="17"/>
  <c r="N17" i="17" s="1"/>
  <c r="F16" i="17"/>
  <c r="F17" i="17" s="1"/>
  <c r="E11" i="17"/>
  <c r="E16" i="17" s="1"/>
  <c r="I64" i="15"/>
  <c r="L77" i="15"/>
  <c r="L91" i="15" s="1"/>
  <c r="M64" i="15"/>
  <c r="E64" i="15"/>
  <c r="H77" i="15"/>
  <c r="H91" i="15" s="1"/>
  <c r="O62" i="15"/>
  <c r="G62" i="15"/>
  <c r="K77" i="15"/>
  <c r="K91" i="15" s="1"/>
  <c r="N77" i="15"/>
  <c r="N91" i="15" s="1"/>
  <c r="J77" i="15"/>
  <c r="J91" i="15" s="1"/>
  <c r="F77" i="15"/>
  <c r="F91" i="15" s="1"/>
  <c r="K64" i="15"/>
  <c r="O77" i="15"/>
  <c r="O91" i="15" s="1"/>
  <c r="G77" i="15"/>
  <c r="G91" i="15" s="1"/>
  <c r="N62" i="15"/>
  <c r="J62" i="15"/>
  <c r="F62" i="15"/>
  <c r="I91" i="15"/>
  <c r="E91" i="15"/>
  <c r="M62" i="15"/>
  <c r="I62" i="15"/>
  <c r="E62" i="15"/>
  <c r="N57" i="15"/>
  <c r="L57" i="15"/>
  <c r="H57" i="15"/>
  <c r="E57" i="15"/>
  <c r="O11" i="17"/>
  <c r="O16" i="17" s="1"/>
  <c r="M11" i="17"/>
  <c r="K11" i="17"/>
  <c r="K16" i="17" s="1"/>
  <c r="I11" i="17"/>
  <c r="G11" i="17"/>
  <c r="O75" i="15"/>
  <c r="M75" i="15"/>
  <c r="K75" i="15"/>
  <c r="I75" i="15"/>
  <c r="N75" i="15"/>
  <c r="L75" i="15"/>
  <c r="J75" i="15"/>
  <c r="H75" i="15"/>
  <c r="G75" i="15"/>
  <c r="F57" i="15"/>
  <c r="F75" i="15"/>
  <c r="E75" i="15"/>
  <c r="E41" i="15"/>
  <c r="M57" i="15"/>
  <c r="O40" i="15"/>
  <c r="O31" i="15"/>
  <c r="O37" i="15" s="1"/>
  <c r="M40" i="15"/>
  <c r="M31" i="15"/>
  <c r="M37" i="15" s="1"/>
  <c r="K40" i="15"/>
  <c r="K31" i="15"/>
  <c r="K37" i="15" s="1"/>
  <c r="I40" i="15"/>
  <c r="I31" i="15"/>
  <c r="I37" i="15" s="1"/>
  <c r="G40" i="15"/>
  <c r="G31" i="15"/>
  <c r="G37" i="15" s="1"/>
  <c r="E40" i="15"/>
  <c r="N41" i="15"/>
  <c r="L41" i="15"/>
  <c r="J41" i="15"/>
  <c r="H41" i="15"/>
  <c r="F41" i="15"/>
  <c r="N40" i="15"/>
  <c r="N31" i="15"/>
  <c r="N37" i="15" s="1"/>
  <c r="L40" i="15"/>
  <c r="L31" i="15"/>
  <c r="L37" i="15" s="1"/>
  <c r="J40" i="15"/>
  <c r="J31" i="15"/>
  <c r="J37" i="15" s="1"/>
  <c r="H40" i="15"/>
  <c r="H31" i="15"/>
  <c r="H37" i="15" s="1"/>
  <c r="F40" i="15"/>
  <c r="F31" i="15"/>
  <c r="F37" i="15" s="1"/>
  <c r="M41" i="15"/>
  <c r="M42" i="15" s="1"/>
  <c r="K41" i="15"/>
  <c r="I41" i="15"/>
  <c r="G41" i="15"/>
  <c r="I42" i="15" l="1"/>
  <c r="K42" i="15"/>
  <c r="G42" i="15"/>
  <c r="L19" i="17"/>
  <c r="L18" i="17"/>
  <c r="L20" i="17" s="1"/>
  <c r="F18" i="17"/>
  <c r="F20" i="17" s="1"/>
  <c r="F19" i="17"/>
  <c r="N18" i="17"/>
  <c r="N40" i="25" s="1"/>
  <c r="N19" i="17"/>
  <c r="O17" i="17"/>
  <c r="O18" i="17" s="1"/>
  <c r="H18" i="17"/>
  <c r="H20" i="17" s="1"/>
  <c r="E17" i="17"/>
  <c r="K17" i="17"/>
  <c r="K18" i="17" s="1"/>
  <c r="J19" i="17"/>
  <c r="I16" i="17"/>
  <c r="I17" i="17" s="1"/>
  <c r="G16" i="17"/>
  <c r="G17" i="17" s="1"/>
  <c r="M16" i="17"/>
  <c r="M17" i="17" s="1"/>
  <c r="M18" i="17" s="1"/>
  <c r="J20" i="17"/>
  <c r="J40" i="25"/>
  <c r="N20" i="17"/>
  <c r="E42" i="15"/>
  <c r="H89" i="15"/>
  <c r="L89" i="15"/>
  <c r="I89" i="15"/>
  <c r="M89" i="15"/>
  <c r="J89" i="15"/>
  <c r="N89" i="15"/>
  <c r="K89" i="15"/>
  <c r="O89" i="15"/>
  <c r="G89" i="15"/>
  <c r="F89" i="15"/>
  <c r="E89" i="15"/>
  <c r="F42" i="15"/>
  <c r="J42" i="15"/>
  <c r="N42" i="15"/>
  <c r="H42" i="15"/>
  <c r="L42" i="15"/>
  <c r="N43" i="25" l="1"/>
  <c r="N45" i="25" s="1"/>
  <c r="J43" i="25"/>
  <c r="J45" i="25" s="1"/>
  <c r="K19" i="17"/>
  <c r="O19" i="17"/>
  <c r="L40" i="25"/>
  <c r="H40" i="25"/>
  <c r="G18" i="17"/>
  <c r="G40" i="25" s="1"/>
  <c r="G19" i="17"/>
  <c r="I18" i="17"/>
  <c r="I40" i="25" s="1"/>
  <c r="I19" i="17"/>
  <c r="M19" i="17"/>
  <c r="F40" i="25"/>
  <c r="E19" i="17"/>
  <c r="E18" i="17"/>
  <c r="K20" i="17"/>
  <c r="K40" i="25"/>
  <c r="M20" i="17"/>
  <c r="M40" i="25"/>
  <c r="O20" i="17"/>
  <c r="O40" i="25"/>
  <c r="F9" i="18"/>
  <c r="F7" i="25" s="1"/>
  <c r="G9" i="18"/>
  <c r="G7" i="25" s="1"/>
  <c r="H9" i="18"/>
  <c r="H7" i="25" s="1"/>
  <c r="I9" i="18"/>
  <c r="I7" i="25" s="1"/>
  <c r="J9" i="18"/>
  <c r="J7" i="25" s="1"/>
  <c r="K9" i="18"/>
  <c r="K7" i="25" s="1"/>
  <c r="L9" i="18"/>
  <c r="L7" i="25" s="1"/>
  <c r="M9" i="18"/>
  <c r="M7" i="25" s="1"/>
  <c r="N9" i="18"/>
  <c r="N7" i="25" s="1"/>
  <c r="O9" i="18"/>
  <c r="O7" i="25" s="1"/>
  <c r="F10" i="18"/>
  <c r="F9" i="15" s="1"/>
  <c r="G10" i="18"/>
  <c r="G9" i="15" s="1"/>
  <c r="H10" i="18"/>
  <c r="H9" i="15" s="1"/>
  <c r="I10" i="18"/>
  <c r="I9" i="15" s="1"/>
  <c r="J10" i="18"/>
  <c r="J9" i="15" s="1"/>
  <c r="K10" i="18"/>
  <c r="L10" i="18"/>
  <c r="M10" i="18"/>
  <c r="M9" i="15" s="1"/>
  <c r="N10" i="18"/>
  <c r="O10" i="18"/>
  <c r="O9" i="15" s="1"/>
  <c r="H13" i="18"/>
  <c r="I13" i="18"/>
  <c r="I11" i="15" s="1"/>
  <c r="F16" i="18"/>
  <c r="G16" i="18"/>
  <c r="H16" i="18"/>
  <c r="I16" i="18"/>
  <c r="J16" i="18"/>
  <c r="K16" i="18"/>
  <c r="L16" i="18"/>
  <c r="M16" i="18"/>
  <c r="O16" i="18"/>
  <c r="N47" i="25" l="1"/>
  <c r="N80" i="25"/>
  <c r="J47" i="25"/>
  <c r="J80" i="25"/>
  <c r="M43" i="25"/>
  <c r="M45" i="25" s="1"/>
  <c r="M80" i="25" s="1"/>
  <c r="G45" i="25"/>
  <c r="G80" i="25" s="1"/>
  <c r="G43" i="25"/>
  <c r="H43" i="25"/>
  <c r="H45" i="25" s="1"/>
  <c r="N48" i="25"/>
  <c r="J48" i="25"/>
  <c r="I43" i="25"/>
  <c r="I45" i="25" s="1"/>
  <c r="L45" i="25"/>
  <c r="L48" i="25" s="1"/>
  <c r="L43" i="25"/>
  <c r="O43" i="25"/>
  <c r="O45" i="25" s="1"/>
  <c r="K43" i="25"/>
  <c r="K45" i="25" s="1"/>
  <c r="F43" i="25"/>
  <c r="F45" i="25" s="1"/>
  <c r="F47" i="25" s="1"/>
  <c r="M13" i="18"/>
  <c r="M11" i="15" s="1"/>
  <c r="M15" i="18"/>
  <c r="M13" i="15" s="1"/>
  <c r="M43" i="15" s="1"/>
  <c r="M46" i="15" s="1"/>
  <c r="M47" i="15" s="1"/>
  <c r="M25" i="25"/>
  <c r="M28" i="25" s="1"/>
  <c r="M32" i="25" s="1"/>
  <c r="M33" i="25" s="1"/>
  <c r="I25" i="25"/>
  <c r="I28" i="25" s="1"/>
  <c r="I32" i="25" s="1"/>
  <c r="I33" i="25" s="1"/>
  <c r="L25" i="25"/>
  <c r="L28" i="25" s="1"/>
  <c r="L32" i="25" s="1"/>
  <c r="L33" i="25" s="1"/>
  <c r="H25" i="25"/>
  <c r="H28" i="25" s="1"/>
  <c r="H32" i="25" s="1"/>
  <c r="H33" i="25" s="1"/>
  <c r="O25" i="25"/>
  <c r="O28" i="25" s="1"/>
  <c r="O32" i="25" s="1"/>
  <c r="O33" i="25" s="1"/>
  <c r="K25" i="25"/>
  <c r="K28" i="25" s="1"/>
  <c r="K32" i="25" s="1"/>
  <c r="K33" i="25" s="1"/>
  <c r="G25" i="25"/>
  <c r="G28" i="25" s="1"/>
  <c r="G32" i="25" s="1"/>
  <c r="G33" i="25" s="1"/>
  <c r="N25" i="25"/>
  <c r="N28" i="25" s="1"/>
  <c r="N32" i="25" s="1"/>
  <c r="N33" i="25" s="1"/>
  <c r="J25" i="25"/>
  <c r="J28" i="25" s="1"/>
  <c r="J32" i="25" s="1"/>
  <c r="J33" i="25" s="1"/>
  <c r="F25" i="25"/>
  <c r="F28" i="25" s="1"/>
  <c r="F32" i="25" s="1"/>
  <c r="F33" i="25" s="1"/>
  <c r="G20" i="17"/>
  <c r="I20" i="17"/>
  <c r="E20" i="17"/>
  <c r="E40" i="25"/>
  <c r="M61" i="25"/>
  <c r="M63" i="25" s="1"/>
  <c r="I61" i="25"/>
  <c r="I63" i="25" s="1"/>
  <c r="L61" i="25"/>
  <c r="L63" i="25" s="1"/>
  <c r="L46" i="25"/>
  <c r="H61" i="25"/>
  <c r="H63" i="25" s="1"/>
  <c r="K61" i="25"/>
  <c r="K63" i="25" s="1"/>
  <c r="G61" i="25"/>
  <c r="G63" i="25" s="1"/>
  <c r="G13" i="18"/>
  <c r="O61" i="25"/>
  <c r="O63" i="25" s="1"/>
  <c r="J61" i="25"/>
  <c r="J63" i="25" s="1"/>
  <c r="J46" i="25"/>
  <c r="F61" i="25"/>
  <c r="F63" i="25" s="1"/>
  <c r="J13" i="18"/>
  <c r="J15" i="18" s="1"/>
  <c r="J13" i="15" s="1"/>
  <c r="J43" i="15" s="1"/>
  <c r="J46" i="15" s="1"/>
  <c r="F13" i="18"/>
  <c r="F15" i="18" s="1"/>
  <c r="F13" i="15" s="1"/>
  <c r="F43" i="15" s="1"/>
  <c r="F46" i="15" s="1"/>
  <c r="I15" i="18"/>
  <c r="I13" i="15" s="1"/>
  <c r="I43" i="15" s="1"/>
  <c r="I46" i="15" s="1"/>
  <c r="I47" i="15" s="1"/>
  <c r="O13" i="18"/>
  <c r="O15" i="18" s="1"/>
  <c r="O13" i="15" s="1"/>
  <c r="O43" i="15" s="1"/>
  <c r="I23" i="17"/>
  <c r="I25" i="17" s="1"/>
  <c r="I69" i="25" s="1"/>
  <c r="I7" i="15"/>
  <c r="I67" i="15" s="1"/>
  <c r="H23" i="17"/>
  <c r="H25" i="17" s="1"/>
  <c r="H69" i="25" s="1"/>
  <c r="H15" i="18"/>
  <c r="H13" i="15" s="1"/>
  <c r="H43" i="15" s="1"/>
  <c r="H46" i="15" s="1"/>
  <c r="H11" i="15"/>
  <c r="H7" i="15"/>
  <c r="H67" i="15" s="1"/>
  <c r="G7" i="15"/>
  <c r="G67" i="15" s="1"/>
  <c r="G23" i="17"/>
  <c r="G25" i="17" s="1"/>
  <c r="G69" i="25" s="1"/>
  <c r="F23" i="17"/>
  <c r="F25" i="17" s="1"/>
  <c r="F69" i="25" s="1"/>
  <c r="F11" i="15"/>
  <c r="F7" i="15"/>
  <c r="F67" i="15" s="1"/>
  <c r="K23" i="17"/>
  <c r="K25" i="17" s="1"/>
  <c r="K69" i="25" s="1"/>
  <c r="K13" i="18"/>
  <c r="K9" i="15"/>
  <c r="K4" i="17"/>
  <c r="K7" i="15"/>
  <c r="K67" i="15" s="1"/>
  <c r="J23" i="17"/>
  <c r="J25" i="17" s="1"/>
  <c r="J69" i="25" s="1"/>
  <c r="J7" i="15"/>
  <c r="J67" i="15" s="1"/>
  <c r="M4" i="17"/>
  <c r="M7" i="15"/>
  <c r="M67" i="15" s="1"/>
  <c r="M23" i="17"/>
  <c r="M25" i="17" s="1"/>
  <c r="M69" i="25" s="1"/>
  <c r="L23" i="17"/>
  <c r="L25" i="17" s="1"/>
  <c r="L69" i="25" s="1"/>
  <c r="L13" i="18"/>
  <c r="L9" i="15"/>
  <c r="L7" i="15"/>
  <c r="L67" i="15" s="1"/>
  <c r="L4" i="17"/>
  <c r="O11" i="15"/>
  <c r="O4" i="17"/>
  <c r="O7" i="15"/>
  <c r="O67" i="15" s="1"/>
  <c r="O23" i="17"/>
  <c r="O25" i="17" s="1"/>
  <c r="O69" i="25" s="1"/>
  <c r="N13" i="18"/>
  <c r="N9" i="15"/>
  <c r="N16" i="18"/>
  <c r="N4" i="17"/>
  <c r="N7" i="15"/>
  <c r="N67" i="15" s="1"/>
  <c r="H80" i="25" l="1"/>
  <c r="H46" i="25"/>
  <c r="K47" i="25"/>
  <c r="K46" i="25"/>
  <c r="I80" i="25"/>
  <c r="I46" i="25"/>
  <c r="I47" i="25"/>
  <c r="L80" i="25"/>
  <c r="O80" i="25"/>
  <c r="O48" i="25"/>
  <c r="M74" i="25"/>
  <c r="M72" i="25"/>
  <c r="M73" i="25" s="1"/>
  <c r="F72" i="25"/>
  <c r="F74" i="25" s="1"/>
  <c r="G72" i="25"/>
  <c r="G74" i="25" s="1"/>
  <c r="H72" i="25"/>
  <c r="H74" i="25" s="1"/>
  <c r="G46" i="25"/>
  <c r="K48" i="25"/>
  <c r="G48" i="25"/>
  <c r="O72" i="25"/>
  <c r="O74" i="25" s="1"/>
  <c r="L72" i="25"/>
  <c r="L74" i="25" s="1"/>
  <c r="K80" i="25"/>
  <c r="M48" i="25"/>
  <c r="J72" i="25"/>
  <c r="J74" i="25" s="1"/>
  <c r="I72" i="25"/>
  <c r="I74" i="25" s="1"/>
  <c r="K72" i="25"/>
  <c r="K74" i="25" s="1"/>
  <c r="G47" i="25"/>
  <c r="F46" i="25"/>
  <c r="M46" i="25"/>
  <c r="O47" i="25"/>
  <c r="I48" i="25"/>
  <c r="M47" i="25"/>
  <c r="H47" i="25"/>
  <c r="H48" i="25"/>
  <c r="E43" i="25"/>
  <c r="E45" i="25" s="1"/>
  <c r="F48" i="25"/>
  <c r="L47" i="25"/>
  <c r="O46" i="25"/>
  <c r="F80" i="25"/>
  <c r="I34" i="25"/>
  <c r="G34" i="25"/>
  <c r="H34" i="25"/>
  <c r="M34" i="25"/>
  <c r="F34" i="25"/>
  <c r="K34" i="25"/>
  <c r="L34" i="25"/>
  <c r="G36" i="25"/>
  <c r="G79" i="25"/>
  <c r="G35" i="25"/>
  <c r="O79" i="25"/>
  <c r="O36" i="25"/>
  <c r="O35" i="25"/>
  <c r="I35" i="25"/>
  <c r="I79" i="25"/>
  <c r="I36" i="25"/>
  <c r="L79" i="25"/>
  <c r="L35" i="25"/>
  <c r="L36" i="25"/>
  <c r="F36" i="25"/>
  <c r="F35" i="25"/>
  <c r="F79" i="25"/>
  <c r="N79" i="25"/>
  <c r="N36" i="25"/>
  <c r="N35" i="25"/>
  <c r="K35" i="25"/>
  <c r="K36" i="25"/>
  <c r="K79" i="25"/>
  <c r="M79" i="25"/>
  <c r="M36" i="25"/>
  <c r="M35" i="25"/>
  <c r="J35" i="25"/>
  <c r="J36" i="25"/>
  <c r="J79" i="25"/>
  <c r="J34" i="25"/>
  <c r="O34" i="25"/>
  <c r="H79" i="25"/>
  <c r="H35" i="25"/>
  <c r="H36" i="25"/>
  <c r="J73" i="25"/>
  <c r="J83" i="25"/>
  <c r="F73" i="25"/>
  <c r="F82" i="25"/>
  <c r="F66" i="25"/>
  <c r="F65" i="25"/>
  <c r="F64" i="25"/>
  <c r="O65" i="25"/>
  <c r="O64" i="25"/>
  <c r="O82" i="25"/>
  <c r="O66" i="25"/>
  <c r="N61" i="25"/>
  <c r="N63" i="25" s="1"/>
  <c r="N46" i="25"/>
  <c r="N34" i="25"/>
  <c r="O83" i="25"/>
  <c r="M83" i="25"/>
  <c r="M75" i="25"/>
  <c r="J11" i="15"/>
  <c r="K83" i="25"/>
  <c r="K75" i="25"/>
  <c r="H83" i="25"/>
  <c r="H75" i="25"/>
  <c r="J82" i="25"/>
  <c r="J66" i="25"/>
  <c r="J65" i="25"/>
  <c r="J64" i="25"/>
  <c r="L73" i="25"/>
  <c r="G83" i="25"/>
  <c r="G75" i="25"/>
  <c r="G73" i="25"/>
  <c r="G11" i="15"/>
  <c r="G15" i="18"/>
  <c r="G13" i="15" s="1"/>
  <c r="G43" i="15" s="1"/>
  <c r="G46" i="15" s="1"/>
  <c r="G47" i="15" s="1"/>
  <c r="G65" i="25"/>
  <c r="G64" i="25"/>
  <c r="G82" i="25"/>
  <c r="G66" i="25"/>
  <c r="K65" i="25"/>
  <c r="K64" i="25"/>
  <c r="K82" i="25"/>
  <c r="K66" i="25"/>
  <c r="H82" i="25"/>
  <c r="H66" i="25"/>
  <c r="H65" i="25"/>
  <c r="H64" i="25"/>
  <c r="L82" i="25"/>
  <c r="L66" i="25"/>
  <c r="L65" i="25"/>
  <c r="L64" i="25"/>
  <c r="I65" i="25"/>
  <c r="I64" i="25"/>
  <c r="I82" i="25"/>
  <c r="I66" i="25"/>
  <c r="M65" i="25"/>
  <c r="M64" i="25"/>
  <c r="M82" i="25"/>
  <c r="M66" i="25"/>
  <c r="I48" i="15"/>
  <c r="I49" i="15" s="1"/>
  <c r="I68" i="15"/>
  <c r="I78" i="15" s="1"/>
  <c r="I84" i="15"/>
  <c r="I82" i="15"/>
  <c r="H84" i="15"/>
  <c r="H48" i="15"/>
  <c r="H49" i="15" s="1"/>
  <c r="H68" i="15"/>
  <c r="H78" i="15" s="1"/>
  <c r="H82" i="15"/>
  <c r="H47" i="15"/>
  <c r="G48" i="15"/>
  <c r="G68" i="15"/>
  <c r="G78" i="15" s="1"/>
  <c r="G84" i="15"/>
  <c r="G82" i="15"/>
  <c r="F84" i="15"/>
  <c r="F68" i="15"/>
  <c r="F78" i="15" s="1"/>
  <c r="F48" i="15"/>
  <c r="F49" i="15" s="1"/>
  <c r="F82" i="15"/>
  <c r="F47" i="15"/>
  <c r="K68" i="15"/>
  <c r="K78" i="15" s="1"/>
  <c r="K84" i="15"/>
  <c r="K48" i="15"/>
  <c r="K82" i="15"/>
  <c r="K15" i="18"/>
  <c r="K13" i="15" s="1"/>
  <c r="K43" i="15" s="1"/>
  <c r="K46" i="15" s="1"/>
  <c r="K11" i="15"/>
  <c r="J47" i="15"/>
  <c r="J84" i="15"/>
  <c r="J68" i="15"/>
  <c r="J78" i="15" s="1"/>
  <c r="J48" i="15"/>
  <c r="J49" i="15" s="1"/>
  <c r="J82" i="15"/>
  <c r="M68" i="15"/>
  <c r="M78" i="15" s="1"/>
  <c r="M84" i="15"/>
  <c r="M48" i="15"/>
  <c r="M49" i="15" s="1"/>
  <c r="M82" i="15"/>
  <c r="L84" i="15"/>
  <c r="L68" i="15"/>
  <c r="L78" i="15" s="1"/>
  <c r="L48" i="15"/>
  <c r="L82" i="15"/>
  <c r="L15" i="18"/>
  <c r="L13" i="15" s="1"/>
  <c r="L43" i="15" s="1"/>
  <c r="L46" i="15" s="1"/>
  <c r="L11" i="15"/>
  <c r="O68" i="15"/>
  <c r="O78" i="15" s="1"/>
  <c r="O84" i="15"/>
  <c r="O48" i="15"/>
  <c r="O82" i="15"/>
  <c r="N23" i="17"/>
  <c r="N25" i="17" s="1"/>
  <c r="N69" i="25" s="1"/>
  <c r="N15" i="18"/>
  <c r="N13" i="15" s="1"/>
  <c r="N43" i="15" s="1"/>
  <c r="N46" i="15" s="1"/>
  <c r="N11" i="15"/>
  <c r="N48" i="15"/>
  <c r="N84" i="15"/>
  <c r="N68" i="15"/>
  <c r="N78" i="15" s="1"/>
  <c r="N82" i="15"/>
  <c r="D8" i="17"/>
  <c r="D56" i="15"/>
  <c r="E30" i="15"/>
  <c r="E31" i="15"/>
  <c r="E32" i="15"/>
  <c r="E33" i="15"/>
  <c r="E34" i="15"/>
  <c r="E35" i="15"/>
  <c r="E36" i="15"/>
  <c r="D7" i="15"/>
  <c r="D67" i="15" s="1"/>
  <c r="D6" i="15"/>
  <c r="D10" i="18"/>
  <c r="D13" i="18" s="1"/>
  <c r="D9" i="18"/>
  <c r="D7" i="25" s="1"/>
  <c r="E9" i="18"/>
  <c r="E7" i="25" s="1"/>
  <c r="D10" i="15"/>
  <c r="D8" i="15"/>
  <c r="D12" i="15"/>
  <c r="D5" i="15"/>
  <c r="D36" i="15"/>
  <c r="D41" i="15"/>
  <c r="D40" i="15"/>
  <c r="D30" i="15"/>
  <c r="D31" i="15"/>
  <c r="D32" i="15"/>
  <c r="D33" i="15"/>
  <c r="D34" i="15"/>
  <c r="D35" i="15"/>
  <c r="D77" i="15"/>
  <c r="E16" i="18"/>
  <c r="E10" i="18"/>
  <c r="E9" i="15" s="1"/>
  <c r="F75" i="25" l="1"/>
  <c r="L75" i="25"/>
  <c r="H73" i="25"/>
  <c r="F83" i="25"/>
  <c r="I73" i="25"/>
  <c r="I75" i="25"/>
  <c r="O73" i="25"/>
  <c r="L83" i="25"/>
  <c r="I83" i="25"/>
  <c r="K73" i="25"/>
  <c r="O75" i="25"/>
  <c r="J75" i="25"/>
  <c r="N74" i="25"/>
  <c r="N72" i="25"/>
  <c r="N83" i="25" s="1"/>
  <c r="E47" i="25"/>
  <c r="E80" i="25"/>
  <c r="E48" i="25"/>
  <c r="D91" i="15"/>
  <c r="G49" i="15"/>
  <c r="G71" i="15" s="1"/>
  <c r="G72" i="15" s="1"/>
  <c r="G54" i="25" s="1"/>
  <c r="G55" i="25" s="1"/>
  <c r="D25" i="25"/>
  <c r="D28" i="25" s="1"/>
  <c r="D32" i="25" s="1"/>
  <c r="D33" i="25" s="1"/>
  <c r="E25" i="25"/>
  <c r="E28" i="25" s="1"/>
  <c r="E32" i="25" s="1"/>
  <c r="E33" i="25" s="1"/>
  <c r="D11" i="17"/>
  <c r="D16" i="17" s="1"/>
  <c r="N73" i="25"/>
  <c r="N75" i="25"/>
  <c r="E61" i="25"/>
  <c r="E63" i="25" s="1"/>
  <c r="E46" i="25"/>
  <c r="N82" i="25"/>
  <c r="N66" i="25"/>
  <c r="N65" i="25"/>
  <c r="N64" i="25"/>
  <c r="D9" i="15"/>
  <c r="I85" i="15"/>
  <c r="I92" i="15"/>
  <c r="I71" i="15"/>
  <c r="I72" i="15" s="1"/>
  <c r="I54" i="25" s="1"/>
  <c r="I55" i="25" s="1"/>
  <c r="I50" i="15"/>
  <c r="I14" i="25" s="1"/>
  <c r="H50" i="15"/>
  <c r="H14" i="25" s="1"/>
  <c r="H71" i="15"/>
  <c r="H72" i="15" s="1"/>
  <c r="H54" i="25" s="1"/>
  <c r="H55" i="25" s="1"/>
  <c r="H92" i="15"/>
  <c r="H85" i="15"/>
  <c r="G85" i="15"/>
  <c r="G92" i="15"/>
  <c r="F85" i="15"/>
  <c r="F92" i="15"/>
  <c r="F50" i="15"/>
  <c r="F14" i="25" s="1"/>
  <c r="F71" i="15"/>
  <c r="F72" i="15" s="1"/>
  <c r="F54" i="25" s="1"/>
  <c r="F55" i="25" s="1"/>
  <c r="E23" i="17"/>
  <c r="E25" i="17" s="1"/>
  <c r="E69" i="25" s="1"/>
  <c r="E7" i="15"/>
  <c r="E67" i="15" s="1"/>
  <c r="K49" i="15"/>
  <c r="K47" i="15"/>
  <c r="K85" i="15"/>
  <c r="K92" i="15"/>
  <c r="J50" i="15"/>
  <c r="J14" i="25" s="1"/>
  <c r="J71" i="15"/>
  <c r="J72" i="15" s="1"/>
  <c r="J54" i="25" s="1"/>
  <c r="J55" i="25" s="1"/>
  <c r="J85" i="15"/>
  <c r="J92" i="15"/>
  <c r="M50" i="15"/>
  <c r="M14" i="25" s="1"/>
  <c r="M71" i="15"/>
  <c r="M72" i="15" s="1"/>
  <c r="M54" i="25" s="1"/>
  <c r="M55" i="25" s="1"/>
  <c r="M85" i="15"/>
  <c r="M92" i="15"/>
  <c r="L92" i="15"/>
  <c r="L85" i="15"/>
  <c r="L47" i="15"/>
  <c r="L49" i="15"/>
  <c r="O92" i="15"/>
  <c r="O85" i="15"/>
  <c r="N85" i="15"/>
  <c r="N92" i="15"/>
  <c r="N47" i="15"/>
  <c r="N49" i="15"/>
  <c r="D75" i="15"/>
  <c r="D55" i="15"/>
  <c r="O41" i="15"/>
  <c r="O42" i="15" s="1"/>
  <c r="O46" i="15" s="1"/>
  <c r="E37" i="15"/>
  <c r="D37" i="15"/>
  <c r="D42" i="15"/>
  <c r="D64" i="15"/>
  <c r="D16" i="18"/>
  <c r="E13" i="18"/>
  <c r="E11" i="15" s="1"/>
  <c r="D84" i="15"/>
  <c r="D15" i="18"/>
  <c r="D13" i="15" s="1"/>
  <c r="D43" i="15" s="1"/>
  <c r="D11" i="15"/>
  <c r="D48" i="15"/>
  <c r="D68" i="15"/>
  <c r="D78" i="15" s="1"/>
  <c r="D57" i="15"/>
  <c r="D23" i="17"/>
  <c r="E72" i="25" l="1"/>
  <c r="E83" i="25" s="1"/>
  <c r="E34" i="25"/>
  <c r="G50" i="15"/>
  <c r="G14" i="25" s="1"/>
  <c r="G17" i="25" s="1"/>
  <c r="G84" i="25" s="1"/>
  <c r="D46" i="15"/>
  <c r="D49" i="15" s="1"/>
  <c r="D35" i="25"/>
  <c r="D36" i="25"/>
  <c r="D79" i="25"/>
  <c r="E79" i="25"/>
  <c r="E36" i="25"/>
  <c r="E35" i="25"/>
  <c r="D17" i="17"/>
  <c r="I17" i="25"/>
  <c r="I84" i="25" s="1"/>
  <c r="M56" i="25"/>
  <c r="M58" i="25"/>
  <c r="M81" i="25"/>
  <c r="M57" i="25"/>
  <c r="J57" i="25"/>
  <c r="J56" i="25"/>
  <c r="J81" i="25"/>
  <c r="J58" i="25"/>
  <c r="H57" i="25"/>
  <c r="H56" i="25"/>
  <c r="H81" i="25"/>
  <c r="H58" i="25"/>
  <c r="M17" i="25"/>
  <c r="M84" i="25" s="1"/>
  <c r="J17" i="25"/>
  <c r="J84" i="25" s="1"/>
  <c r="H17" i="25"/>
  <c r="H84" i="25" s="1"/>
  <c r="F57" i="25"/>
  <c r="F56" i="25"/>
  <c r="F81" i="25"/>
  <c r="F58" i="25"/>
  <c r="F17" i="25"/>
  <c r="F84" i="25" s="1"/>
  <c r="G81" i="25"/>
  <c r="G58" i="25"/>
  <c r="G57" i="25"/>
  <c r="G56" i="25"/>
  <c r="I57" i="25"/>
  <c r="I56" i="25"/>
  <c r="I81" i="25"/>
  <c r="I58" i="25"/>
  <c r="E65" i="25"/>
  <c r="E64" i="25"/>
  <c r="E82" i="25"/>
  <c r="E66" i="25"/>
  <c r="D61" i="25"/>
  <c r="D63" i="25" s="1"/>
  <c r="D34" i="25"/>
  <c r="I76" i="15"/>
  <c r="H76" i="15"/>
  <c r="F76" i="15"/>
  <c r="E68" i="15"/>
  <c r="E78" i="15" s="1"/>
  <c r="E84" i="15"/>
  <c r="E48" i="15"/>
  <c r="E82" i="15"/>
  <c r="K50" i="15"/>
  <c r="K14" i="25" s="1"/>
  <c r="K71" i="15"/>
  <c r="K72" i="15" s="1"/>
  <c r="K54" i="25" s="1"/>
  <c r="K55" i="25" s="1"/>
  <c r="J76" i="15"/>
  <c r="M76" i="15"/>
  <c r="L50" i="15"/>
  <c r="L14" i="25" s="1"/>
  <c r="L71" i="15"/>
  <c r="L72" i="15" s="1"/>
  <c r="L54" i="25" s="1"/>
  <c r="L55" i="25" s="1"/>
  <c r="N50" i="15"/>
  <c r="N14" i="25" s="1"/>
  <c r="N71" i="15"/>
  <c r="N72" i="15" s="1"/>
  <c r="N54" i="25" s="1"/>
  <c r="N55" i="25" s="1"/>
  <c r="D89" i="15"/>
  <c r="D82" i="15"/>
  <c r="O49" i="15"/>
  <c r="O47" i="15"/>
  <c r="E15" i="18"/>
  <c r="D92" i="15"/>
  <c r="D85" i="15"/>
  <c r="D25" i="17"/>
  <c r="D69" i="25" s="1"/>
  <c r="E73" i="25" l="1"/>
  <c r="D72" i="25"/>
  <c r="D83" i="25" s="1"/>
  <c r="E75" i="25"/>
  <c r="E74" i="25"/>
  <c r="D47" i="15"/>
  <c r="G76" i="15"/>
  <c r="G90" i="15" s="1"/>
  <c r="G93" i="15" s="1"/>
  <c r="D19" i="17"/>
  <c r="D18" i="17"/>
  <c r="L57" i="25"/>
  <c r="L56" i="25"/>
  <c r="L81" i="25"/>
  <c r="L58" i="25"/>
  <c r="H78" i="25"/>
  <c r="H18" i="25"/>
  <c r="H85" i="25" s="1"/>
  <c r="H89" i="25"/>
  <c r="H20" i="25"/>
  <c r="H87" i="25" s="1"/>
  <c r="H19" i="25"/>
  <c r="H86" i="25" s="1"/>
  <c r="G19" i="25"/>
  <c r="G86" i="25" s="1"/>
  <c r="G78" i="25"/>
  <c r="G18" i="25"/>
  <c r="G85" i="25" s="1"/>
  <c r="G89" i="25"/>
  <c r="G20" i="25"/>
  <c r="G87" i="25" s="1"/>
  <c r="L17" i="25"/>
  <c r="L84" i="25" s="1"/>
  <c r="N57" i="25"/>
  <c r="N56" i="25"/>
  <c r="N81" i="25"/>
  <c r="N58" i="25"/>
  <c r="F89" i="25"/>
  <c r="F20" i="25"/>
  <c r="F87" i="25" s="1"/>
  <c r="F19" i="25"/>
  <c r="F86" i="25" s="1"/>
  <c r="F78" i="25"/>
  <c r="F18" i="25"/>
  <c r="F85" i="25" s="1"/>
  <c r="J19" i="25"/>
  <c r="J86" i="25" s="1"/>
  <c r="J78" i="25"/>
  <c r="J18" i="25"/>
  <c r="J85" i="25" s="1"/>
  <c r="J89" i="25"/>
  <c r="J20" i="25"/>
  <c r="J87" i="25" s="1"/>
  <c r="I19" i="25"/>
  <c r="I86" i="25" s="1"/>
  <c r="I78" i="25"/>
  <c r="I18" i="25"/>
  <c r="I85" i="25" s="1"/>
  <c r="I89" i="25"/>
  <c r="I20" i="25"/>
  <c r="I87" i="25" s="1"/>
  <c r="K81" i="25"/>
  <c r="K58" i="25"/>
  <c r="K57" i="25"/>
  <c r="K56" i="25"/>
  <c r="M78" i="25"/>
  <c r="M18" i="25"/>
  <c r="M85" i="25" s="1"/>
  <c r="M89" i="25"/>
  <c r="M20" i="25"/>
  <c r="M87" i="25" s="1"/>
  <c r="M19" i="25"/>
  <c r="M86" i="25" s="1"/>
  <c r="K17" i="25"/>
  <c r="K84" i="25" s="1"/>
  <c r="N17" i="25"/>
  <c r="N84" i="25" s="1"/>
  <c r="D75" i="25"/>
  <c r="D73" i="25"/>
  <c r="D64" i="25"/>
  <c r="D82" i="25"/>
  <c r="D66" i="25"/>
  <c r="D65" i="25"/>
  <c r="I83" i="15"/>
  <c r="I86" i="15" s="1"/>
  <c r="I90" i="15"/>
  <c r="I93" i="15" s="1"/>
  <c r="I79" i="15"/>
  <c r="I95" i="15" s="1"/>
  <c r="H83" i="15"/>
  <c r="H86" i="15" s="1"/>
  <c r="H90" i="15"/>
  <c r="H93" i="15" s="1"/>
  <c r="H79" i="15"/>
  <c r="H95" i="15" s="1"/>
  <c r="F83" i="15"/>
  <c r="F86" i="15" s="1"/>
  <c r="F90" i="15"/>
  <c r="F93" i="15" s="1"/>
  <c r="F79" i="15"/>
  <c r="F95" i="15" s="1"/>
  <c r="E92" i="15"/>
  <c r="E85" i="15"/>
  <c r="E13" i="15"/>
  <c r="E43" i="15" s="1"/>
  <c r="E46" i="15" s="1"/>
  <c r="K76" i="15"/>
  <c r="J83" i="15"/>
  <c r="J86" i="15" s="1"/>
  <c r="J90" i="15"/>
  <c r="J93" i="15" s="1"/>
  <c r="J79" i="15"/>
  <c r="J95" i="15" s="1"/>
  <c r="M83" i="15"/>
  <c r="M86" i="15" s="1"/>
  <c r="M90" i="15"/>
  <c r="M93" i="15" s="1"/>
  <c r="M79" i="15"/>
  <c r="M95" i="15" s="1"/>
  <c r="L76" i="15"/>
  <c r="N76" i="15"/>
  <c r="O71" i="15"/>
  <c r="O72" i="15" s="1"/>
  <c r="O54" i="25" s="1"/>
  <c r="O55" i="25" s="1"/>
  <c r="O50" i="15"/>
  <c r="O14" i="25" s="1"/>
  <c r="D50" i="15"/>
  <c r="D14" i="25" s="1"/>
  <c r="D71" i="15"/>
  <c r="D72" i="15" s="1"/>
  <c r="D54" i="25" s="1"/>
  <c r="D55" i="25" s="1"/>
  <c r="D74" i="25" l="1"/>
  <c r="G79" i="15"/>
  <c r="G95" i="15" s="1"/>
  <c r="G83" i="15"/>
  <c r="G86" i="15" s="1"/>
  <c r="D40" i="25"/>
  <c r="D20" i="17"/>
  <c r="N20" i="25"/>
  <c r="N87" i="25" s="1"/>
  <c r="N19" i="25"/>
  <c r="N86" i="25" s="1"/>
  <c r="N78" i="25"/>
  <c r="N18" i="25"/>
  <c r="N85" i="25" s="1"/>
  <c r="N89" i="25"/>
  <c r="L89" i="25"/>
  <c r="L20" i="25"/>
  <c r="L87" i="25" s="1"/>
  <c r="L19" i="25"/>
  <c r="L86" i="25" s="1"/>
  <c r="L78" i="25"/>
  <c r="L18" i="25"/>
  <c r="L85" i="25" s="1"/>
  <c r="O17" i="25"/>
  <c r="O84" i="25" s="1"/>
  <c r="K78" i="25"/>
  <c r="K18" i="25"/>
  <c r="K85" i="25" s="1"/>
  <c r="K89" i="25"/>
  <c r="K20" i="25"/>
  <c r="K87" i="25" s="1"/>
  <c r="K19" i="25"/>
  <c r="K86" i="25" s="1"/>
  <c r="O81" i="25"/>
  <c r="O58" i="25"/>
  <c r="O57" i="25"/>
  <c r="O56" i="25"/>
  <c r="D17" i="25"/>
  <c r="D81" i="25"/>
  <c r="D58" i="25"/>
  <c r="D57" i="25"/>
  <c r="D56" i="25"/>
  <c r="E49" i="15"/>
  <c r="E47" i="15"/>
  <c r="K83" i="15"/>
  <c r="K86" i="15" s="1"/>
  <c r="K90" i="15"/>
  <c r="K93" i="15" s="1"/>
  <c r="K79" i="15"/>
  <c r="K95" i="15" s="1"/>
  <c r="L83" i="15"/>
  <c r="L86" i="15" s="1"/>
  <c r="L90" i="15"/>
  <c r="L93" i="15" s="1"/>
  <c r="L79" i="15"/>
  <c r="L95" i="15" s="1"/>
  <c r="O76" i="15"/>
  <c r="N83" i="15"/>
  <c r="N86" i="15" s="1"/>
  <c r="N90" i="15"/>
  <c r="N93" i="15" s="1"/>
  <c r="N79" i="15"/>
  <c r="N95" i="15" s="1"/>
  <c r="D76" i="15"/>
  <c r="D45" i="25" l="1"/>
  <c r="D48" i="25" s="1"/>
  <c r="D43" i="25"/>
  <c r="O78" i="25"/>
  <c r="O18" i="25"/>
  <c r="O85" i="25" s="1"/>
  <c r="O89" i="25"/>
  <c r="O20" i="25"/>
  <c r="O87" i="25" s="1"/>
  <c r="O19" i="25"/>
  <c r="O86" i="25" s="1"/>
  <c r="D19" i="25"/>
  <c r="D78" i="25"/>
  <c r="D18" i="25"/>
  <c r="D20" i="25"/>
  <c r="E50" i="15"/>
  <c r="E14" i="25" s="1"/>
  <c r="E71" i="15"/>
  <c r="E72" i="15" s="1"/>
  <c r="E54" i="25" s="1"/>
  <c r="E55" i="25" s="1"/>
  <c r="O83" i="15"/>
  <c r="O86" i="15" s="1"/>
  <c r="O90" i="15"/>
  <c r="O93" i="15" s="1"/>
  <c r="O79" i="15"/>
  <c r="O95" i="15" s="1"/>
  <c r="D90" i="15"/>
  <c r="D93" i="15" s="1"/>
  <c r="D83" i="15"/>
  <c r="D86" i="15" s="1"/>
  <c r="D79" i="15"/>
  <c r="D95" i="15" s="1"/>
  <c r="D80" i="25" l="1"/>
  <c r="D46" i="25"/>
  <c r="D85" i="25" s="1"/>
  <c r="D47" i="25"/>
  <c r="D86" i="25" s="1"/>
  <c r="D84" i="25"/>
  <c r="D87" i="25"/>
  <c r="E57" i="25"/>
  <c r="E56" i="25"/>
  <c r="E81" i="25"/>
  <c r="E58" i="25"/>
  <c r="E17" i="25"/>
  <c r="E84" i="25" s="1"/>
  <c r="E76" i="15"/>
  <c r="D89" i="25" l="1"/>
  <c r="E20" i="25"/>
  <c r="E87" i="25" s="1"/>
  <c r="E19" i="25"/>
  <c r="E86" i="25" s="1"/>
  <c r="E78" i="25"/>
  <c r="E18" i="25"/>
  <c r="E85" i="25" s="1"/>
  <c r="E89" i="25"/>
  <c r="E83" i="15"/>
  <c r="E86" i="15" s="1"/>
  <c r="E90" i="15"/>
  <c r="E93" i="15" s="1"/>
  <c r="E79" i="15"/>
  <c r="E95" i="15" s="1"/>
</calcChain>
</file>

<file path=xl/comments1.xml><?xml version="1.0" encoding="utf-8"?>
<comments xmlns="http://schemas.openxmlformats.org/spreadsheetml/2006/main">
  <authors>
    <author>rp10</author>
  </authors>
  <commentList>
    <comment ref="A40" authorId="0">
      <text>
        <r>
          <rPr>
            <sz val="8"/>
            <color indexed="81"/>
            <rFont val="Tahoma"/>
            <family val="2"/>
          </rPr>
          <t>VM zweite Kuh je Melker bis Ansetzen letzte Kuh je Melker!</t>
        </r>
      </text>
    </comment>
    <comment ref="A42" authorId="0">
      <text>
        <r>
          <rPr>
            <sz val="8"/>
            <color indexed="81"/>
            <rFont val="Tahoma"/>
            <family val="2"/>
          </rPr>
          <t>Wieviel Zeit zur Milchabgabe hat die Kuh, bis der Melker wieder bei ihr zur Nachbereitung ankommt?</t>
        </r>
      </text>
    </comment>
    <comment ref="A49" authorId="0">
      <text>
        <r>
          <rPr>
            <sz val="8"/>
            <color indexed="81"/>
            <rFont val="Tahoma"/>
            <family val="2"/>
          </rPr>
          <t xml:space="preserve">Beachte: Immer aufgerundet auf ganze Melkstandseite bzw. Karussellumdrehung! </t>
        </r>
      </text>
    </comment>
    <comment ref="A53" authorId="0">
      <text>
        <r>
          <rPr>
            <sz val="8"/>
            <color indexed="81"/>
            <rFont val="Tahoma"/>
            <family val="2"/>
          </rPr>
          <t xml:space="preserve">Umfaßt grundsätzlich:
- Umbau Milchhaus von Spülen auf Melken,
- Einschalten der Vakuumpumpe i.d.R. am Spülautomat,
- Weg zum Melkstand,
- Herausnahme der Melkzeuge aus den Spülaufnahmen und Abklappen der Selbigen,
- Material bereitstellen (Dipmittel, Becher, Vormelkbecher, Euterpapier...)
- persönliche Vorbereitung (Melkschürze, Handschuhe)
Hängt ab von:
- Weg von Milchhaus zu Melkstand,
- technische Einrichtung Spülaufnahme,
- Art der Euterreinigung, des Dippens,
- Platzierung von Schaltern,
- Geschicklichkeit
Praxismessungen liegen im Mittel bei 0,49 min je Melkplatz in einer Schwankungsbreite von 0,28 bis 0,79 </t>
        </r>
      </text>
    </comment>
    <comment ref="A60" authorId="0">
      <text>
        <r>
          <rPr>
            <sz val="8"/>
            <color indexed="81"/>
            <rFont val="Tahoma"/>
            <family val="2"/>
          </rPr>
          <t xml:space="preserve">Umfasst grundsätzlich:
- Restmilch aus dem System herausdrücken;
- Weg zum Milchhaus;
- Umbau von Melken auf Spülen;
- Weg zum Melkstand;
- Aufsetzen der Melkzeuge auf die Spülaufnahmen; 
- Weg zum Milchhaus;
- Programmierung/Einschalten der Selben;
- Weg zum Melkstand;
- Reinigen/Spritzen der Standflächen und Abtrennungen;
- Oberflächenreinigung der Melkzeuge einschließlich Schläuche;
- Reinigung/Spritzen Melkflur;
- Reinigung/Spritzen Zu- und Abtriebe einschl. VWH;
- Reinigung/Spritzen Milchhaus;
Hängt ab von:
- Weg vom Milchhaus zum Melkstand;
- zu reinigende Flächen;
- Beschaffenheit dieser Flächen einschließlich Abflußmöglichkeiten;
- technische Ausstattung/Beschaffenheit Spülaufnahmen;
- Spritzwassertechnik, Druck, Querschnitt;
- Anspruch an die Sauberkeit;
- Geschicklichkeit
Praxismessungen liegen im Mittel bei 4,04 min je Melkplatz in einer Schwankungsbreite von 2,06 bis 8,52
</t>
        </r>
      </text>
    </comment>
    <comment ref="A67" authorId="0">
      <text>
        <r>
          <rPr>
            <sz val="8"/>
            <color indexed="81"/>
            <rFont val="Tahoma"/>
            <family val="2"/>
          </rPr>
          <t>Umfasst grundsätzlich: 
- Weg zur Bucht
- Austrieb der Kühe aus der Bucht
- Zutrieb der Kühe zum VWH
- evtl. Absperren/automatischen Treiber zurückfahren
Hängt ab von:
- Weglänge;
- Breite und Verwinkelung der Triebwege;
- Bodenbeschaffenheit;
- Gruppengröße;
- Laufbereitschaft der Tiere / lahme Kühe;
- technische Ausstattung des VWH;
- Geschicklichkeit
Praxismessungen liegen im Mittel bei 0,25 AKmin je Gemelk in einer Schwankungsbreite von 0,13 bis 0,43, wobei ein Degressionseffekt erkennbar ist (MW Gr. 1= 0,29; Gr. 2 = 0,28; Gr. 3 = 0,15)
y = 0,3053481001*e^-0,0001979929x</t>
        </r>
      </text>
    </comment>
  </commentList>
</comments>
</file>

<file path=xl/comments2.xml><?xml version="1.0" encoding="utf-8"?>
<comments xmlns="http://schemas.openxmlformats.org/spreadsheetml/2006/main">
  <authors>
    <author>Pommer, Rene - LfULG</author>
  </authors>
  <commentList>
    <comment ref="A16" authorId="0">
      <text>
        <r>
          <rPr>
            <sz val="9"/>
            <color indexed="81"/>
            <rFont val="Tahoma"/>
            <family val="2"/>
          </rPr>
          <t>je ME mit MMMG - 0,3 m²
je Endeinheit - 0,61 m²</t>
        </r>
      </text>
    </comment>
  </commentList>
</comments>
</file>

<file path=xl/comments3.xml><?xml version="1.0" encoding="utf-8"?>
<comments xmlns="http://schemas.openxmlformats.org/spreadsheetml/2006/main">
  <authors>
    <author>Henning Eckel</author>
    <author>rp10</author>
  </authors>
  <commentList>
    <comment ref="A11" authorId="0">
      <text>
        <r>
          <rPr>
            <sz val="9"/>
            <color indexed="81"/>
            <rFont val="Tahoma"/>
            <family val="2"/>
          </rPr>
          <t>DIN ISO Melkanlagen + 25 % praxisübliches Vorhalten</t>
        </r>
      </text>
    </comment>
    <comment ref="B159" authorId="1">
      <text>
        <r>
          <rPr>
            <sz val="8"/>
            <color indexed="81"/>
            <rFont val="Tahoma"/>
            <family val="2"/>
          </rPr>
          <t>nach Herstellerangaben</t>
        </r>
      </text>
    </comment>
    <comment ref="A177" authorId="1">
      <text>
        <r>
          <rPr>
            <sz val="8"/>
            <color indexed="81"/>
            <rFont val="Tahoma"/>
            <family val="2"/>
          </rPr>
          <t>Die notwendige Milchpumpenleistung hängt nicht nur von der Anzahl der angeschlossenen Melkzeuge ab, sondern auch von den Druckverlusten, welche ihrerseits von Druckleitungslänge und -Querschnitt, Anzahl und Gestaltung von Winkeln, Höhenunterschiede, Plattenkühler und Milchfilterbeeinflusst werden. Die exakte Berechnung der notwendigen Milchpumpenleistung ist deshalb relativ aufwendig. 
Deshalb wird nach billigem Ermessen die beigefügte Staffelung vorgeschlagen. Sie bildet die Realität der Untersuchungsbetriebe weitestgehend ab.</t>
        </r>
      </text>
    </comment>
    <comment ref="B177" authorId="1">
      <text>
        <r>
          <rPr>
            <sz val="8"/>
            <color indexed="81"/>
            <rFont val="Tahoma"/>
            <family val="2"/>
          </rPr>
          <t>nach Herstellerangaben, eine Druckleitung</t>
        </r>
      </text>
    </comment>
  </commentList>
</comments>
</file>

<file path=xl/sharedStrings.xml><?xml version="1.0" encoding="utf-8"?>
<sst xmlns="http://schemas.openxmlformats.org/spreadsheetml/2006/main" count="469" uniqueCount="228">
  <si>
    <t>Anschlusswert</t>
  </si>
  <si>
    <t>Melkplätze</t>
  </si>
  <si>
    <t>l/min</t>
  </si>
  <si>
    <t>kW</t>
  </si>
  <si>
    <t>kWh/t Milch</t>
  </si>
  <si>
    <t>Kühe/h</t>
  </si>
  <si>
    <t>h/d</t>
  </si>
  <si>
    <t>Wasserbedarf</t>
  </si>
  <si>
    <t>m</t>
  </si>
  <si>
    <t>l/h</t>
  </si>
  <si>
    <t>%</t>
  </si>
  <si>
    <t>Spülung</t>
  </si>
  <si>
    <t>lakt. Kühe</t>
  </si>
  <si>
    <t>gem. Milch</t>
  </si>
  <si>
    <t>Milch pro Tag</t>
  </si>
  <si>
    <t>Bh Spülung</t>
  </si>
  <si>
    <t>kWh/d</t>
  </si>
  <si>
    <t>Luftdurchfluss</t>
  </si>
  <si>
    <t>Milchkühe ges.</t>
  </si>
  <si>
    <t>ZKZ</t>
  </si>
  <si>
    <t>Trockenstehdauer</t>
  </si>
  <si>
    <t>melkende Kühe</t>
  </si>
  <si>
    <t>verk. Milchmenge / Kuh und Jahr</t>
  </si>
  <si>
    <t>mittleres Tagesgemelk</t>
  </si>
  <si>
    <t>Melkintervall</t>
  </si>
  <si>
    <t>kg / Melkzeit</t>
  </si>
  <si>
    <t>mittleres Minutengemelk</t>
  </si>
  <si>
    <t>durchschnittliche Melkdauer min</t>
  </si>
  <si>
    <t>Anzahl Melker</t>
  </si>
  <si>
    <t>AKmin je Seite</t>
  </si>
  <si>
    <t>Eintrieb</t>
  </si>
  <si>
    <t>Vormelken</t>
  </si>
  <si>
    <t>Euterreinigung</t>
  </si>
  <si>
    <t>Ansetzen</t>
  </si>
  <si>
    <t>Dippen</t>
  </si>
  <si>
    <t>Schnellaustrieb</t>
  </si>
  <si>
    <t>Summe Bearbeitungszeit</t>
  </si>
  <si>
    <t>Prüfung, ob Bearbeitungszeit zum Melken reicht:</t>
  </si>
  <si>
    <t>Nennleistung ges.</t>
  </si>
  <si>
    <t>KW</t>
  </si>
  <si>
    <t>h</t>
  </si>
  <si>
    <t>Kühe ges.</t>
  </si>
  <si>
    <t>Durchsatz</t>
  </si>
  <si>
    <t>Energiebedarf je Melkplatz</t>
  </si>
  <si>
    <t>Faktor wg. Frequenzsteuerung</t>
  </si>
  <si>
    <t>zu reinigende Leitungslänge</t>
  </si>
  <si>
    <t>Anzahl ME</t>
  </si>
  <si>
    <t>Anzahl Endeinheiten</t>
  </si>
  <si>
    <t>mm</t>
  </si>
  <si>
    <t>Rastermaß Melkplatz</t>
  </si>
  <si>
    <t>Entfernung erster Melkplatz zur Endeinheit</t>
  </si>
  <si>
    <t>l Wasser</t>
  </si>
  <si>
    <t>Zirkulationsreinigung, ausgestattet mit Milchmengenmessgerät, ohne Vorkühlung</t>
  </si>
  <si>
    <t>je Reinigung</t>
  </si>
  <si>
    <t>Zirkulationsreinigung</t>
  </si>
  <si>
    <t>min</t>
  </si>
  <si>
    <t>Melksystem</t>
  </si>
  <si>
    <t>Vorwartehof</t>
  </si>
  <si>
    <t>Melkzeugabnahme</t>
  </si>
  <si>
    <t>Kochendwasserreinigung</t>
  </si>
  <si>
    <t>Automatische Dip- / Sprühvorrichtung</t>
  </si>
  <si>
    <t>x</t>
  </si>
  <si>
    <t>-</t>
  </si>
  <si>
    <t>Dauer eines vollständigen Kuhwechsels</t>
  </si>
  <si>
    <t>Gesamtmelkdauer</t>
  </si>
  <si>
    <t>Vorbereitungsdauer</t>
  </si>
  <si>
    <t>Nachbereitungsdauer</t>
  </si>
  <si>
    <t>Schichtdauer o. Pause</t>
  </si>
  <si>
    <t>AKmin/Gemelk</t>
  </si>
  <si>
    <t>Treibarbeitszeit</t>
  </si>
  <si>
    <t>Melkstand vorbereiten</t>
  </si>
  <si>
    <t>Melken incl. Service und techn. Wartezeiten</t>
  </si>
  <si>
    <t>Nachbereitung Melkstand, Vor- und Nachwartebereich</t>
  </si>
  <si>
    <t>Treiben zum Melkstand und zurück</t>
  </si>
  <si>
    <t>Summe</t>
  </si>
  <si>
    <t>frei bleibende Plätze</t>
  </si>
  <si>
    <t>ungestörte Arbeitsdauer bis Dippen 1. Kuh</t>
  </si>
  <si>
    <t>Bearbeitungsdauer erste Seite ab 1. Kuh angesetzt</t>
  </si>
  <si>
    <t>durchschnittliche Melkdauer einer Kuh</t>
  </si>
  <si>
    <t>Durchsatz und Schichtzeit</t>
  </si>
  <si>
    <t>AKmin/Schicht</t>
  </si>
  <si>
    <t>min/Schicht</t>
  </si>
  <si>
    <t>h/Schicht</t>
  </si>
  <si>
    <t>Melkintervall (Schichten)</t>
  </si>
  <si>
    <t>LDF l/min</t>
  </si>
  <si>
    <t>Anschlußwert KW</t>
  </si>
  <si>
    <t>Nennleistungen Vakuumpumpen</t>
  </si>
  <si>
    <t>Faktor Spülung</t>
  </si>
  <si>
    <t>MPl</t>
  </si>
  <si>
    <t>Nennförderstrom Plattenkühler</t>
  </si>
  <si>
    <t>Druckverlust Plattenkühler</t>
  </si>
  <si>
    <t>Druckverlust Milchdruckfilter</t>
  </si>
  <si>
    <t>Gemelke je Tag</t>
  </si>
  <si>
    <t>kW Festlegung</t>
  </si>
  <si>
    <t>Anschlusswert Milchpumpe</t>
  </si>
  <si>
    <t>l/d</t>
  </si>
  <si>
    <t>Milchmenge je Tag</t>
  </si>
  <si>
    <t>Bh Melken</t>
  </si>
  <si>
    <t>Bh ges</t>
  </si>
  <si>
    <t>Laufzeit der Pumpe während der Spülung</t>
  </si>
  <si>
    <t>kWh/Gemelk</t>
  </si>
  <si>
    <t>spez. Wärmekapazität Wasser</t>
  </si>
  <si>
    <t>Ausgangstemperatur Kaltwasser</t>
  </si>
  <si>
    <t>°C</t>
  </si>
  <si>
    <t>Anzahl Gemelke je Tag</t>
  </si>
  <si>
    <t>Spülungen je Tag</t>
  </si>
  <si>
    <t>Energiebedarf Wasserermärmung</t>
  </si>
  <si>
    <t>Vorlauftemperatur Spülung</t>
  </si>
  <si>
    <t>Beleuchtungsdauer je Tag</t>
  </si>
  <si>
    <t>Gemelke</t>
  </si>
  <si>
    <t>Schichten je Tag</t>
  </si>
  <si>
    <t>Betriebsstunden je Tag</t>
  </si>
  <si>
    <t>l/Gemelk</t>
  </si>
  <si>
    <t>Anzahl Gemelke</t>
  </si>
  <si>
    <t>Temperatur WW</t>
  </si>
  <si>
    <t>1 AMS-Box</t>
  </si>
  <si>
    <t>Melkzeugzwischendesinfektion</t>
  </si>
  <si>
    <t>l/Spülung</t>
  </si>
  <si>
    <t>l Wasser je Tag</t>
  </si>
  <si>
    <t>dar. Heißwasser</t>
  </si>
  <si>
    <t>Heißwasserbedarf</t>
  </si>
  <si>
    <t>bis</t>
  </si>
  <si>
    <t>notw. Förderstrom Qn (l/h)</t>
  </si>
  <si>
    <t>rel. Druckverlust mWS/100</t>
  </si>
  <si>
    <t>Mindest-Förderstrom l/h Festlegung</t>
  </si>
  <si>
    <t>Mindest-Förderstrom</t>
  </si>
  <si>
    <t>FGM 2 x 5</t>
  </si>
  <si>
    <t>FGM 2 x 6</t>
  </si>
  <si>
    <t>FGM 2 x 7</t>
  </si>
  <si>
    <t xml:space="preserve">FGM 2 x 8 </t>
  </si>
  <si>
    <t>FGM 2 x 10</t>
  </si>
  <si>
    <t>FGM 2 x 12</t>
  </si>
  <si>
    <t>SbS 2 x 14</t>
  </si>
  <si>
    <t>SbS 2 x 16</t>
  </si>
  <si>
    <t>SbS 2 x 20</t>
  </si>
  <si>
    <t>SbS 2 x 24</t>
  </si>
  <si>
    <t>SbS 2 x 40</t>
  </si>
  <si>
    <t>Sbs 2 x 30</t>
  </si>
  <si>
    <t>Austrieb</t>
  </si>
  <si>
    <t>Vorbereitungszeit variabel</t>
  </si>
  <si>
    <t>Vorbereitungszeit fix</t>
  </si>
  <si>
    <t>Nachbereitungszeit variabel</t>
  </si>
  <si>
    <t>Nachbereitungszeit fix</t>
  </si>
  <si>
    <t>2. WW für Euterdusche und Standplatzreinigung während des Melkens bzw. Euterreinigung</t>
  </si>
  <si>
    <t>Vakuumversorgung</t>
  </si>
  <si>
    <t>Milchpumpe</t>
  </si>
  <si>
    <t>Warmwasser für Spülung</t>
  </si>
  <si>
    <t>Beleuchtung Melkstand</t>
  </si>
  <si>
    <t>Kompressoren für Druckluft</t>
  </si>
  <si>
    <t>Warmwasser für Euterduschen etc.</t>
  </si>
  <si>
    <t>Innendurchmesser Melkleitung</t>
  </si>
  <si>
    <t>Innendurchmesser Druckleitung</t>
  </si>
  <si>
    <t>Energiebedarf</t>
  </si>
  <si>
    <t>Anteil Wassererwärmung</t>
  </si>
  <si>
    <t>Zwischenkalbezeit</t>
  </si>
  <si>
    <t>Tage</t>
  </si>
  <si>
    <t>Stück</t>
  </si>
  <si>
    <t>kg/(Kuh*a)</t>
  </si>
  <si>
    <t>erzeugte Milchmenge</t>
  </si>
  <si>
    <t>kg/d</t>
  </si>
  <si>
    <t>Tagesmilchmenge</t>
  </si>
  <si>
    <t>kg/(lakt. Kuh*d)</t>
  </si>
  <si>
    <t>n</t>
  </si>
  <si>
    <t>kg/Gemelk</t>
  </si>
  <si>
    <t>Milchmenge je Gemelk</t>
  </si>
  <si>
    <t>kg/min</t>
  </si>
  <si>
    <t>durchschnittliche Melkdauer</t>
  </si>
  <si>
    <t>AKh/d</t>
  </si>
  <si>
    <t>tägliche Melkarbeitszeit</t>
  </si>
  <si>
    <t>Melkarbeitszeit je Gemelk</t>
  </si>
  <si>
    <t>Melkarbeitszeit je Kuh und Jahr</t>
  </si>
  <si>
    <t>AKh/(Kuh*a)</t>
  </si>
  <si>
    <t>Gemelke/AKh</t>
  </si>
  <si>
    <t>Gemelke je eingesetzte Melk-AKh</t>
  </si>
  <si>
    <t>Schichtdauer ohne Pause</t>
  </si>
  <si>
    <t>Modell</t>
  </si>
  <si>
    <t>Tierdaten und Melkstandausstattung (FGM / SbS mit doppeltem Melkzeugbesatz)</t>
  </si>
  <si>
    <t>Arbeitsaufwand einzelner Arbeitsschritte beim Melken (modifiziert nach Heidenreich)</t>
  </si>
  <si>
    <t>Bearbeitungszeiten je Melkstandseite</t>
  </si>
  <si>
    <t>AKmin/(MPl*Schicht)</t>
  </si>
  <si>
    <t>Vorbereitungszeit gesamt</t>
  </si>
  <si>
    <t>Nachbereitungszeit gesamt</t>
  </si>
  <si>
    <t>Anzahl Gruppenwechsel (eine Seite)</t>
  </si>
  <si>
    <t>Blau hinterlegte Felder sind Eingabefelder.</t>
  </si>
  <si>
    <t>Die Anschlussleistungen der einzelnen Stromverbraucher entsprechen Herstellerangaben und repräsentieren der Stand in der Praxis im Jahr 2013.</t>
  </si>
  <si>
    <t>Als Basis für die Betriebsstundenberechnung wurden die Melkzeiten anhand der einzelnen Arbeitsschritte kalkuliert. Die berechneten Zeiten entsprechen einem "guten Durchschnitt".</t>
  </si>
  <si>
    <t>Für Reinigungsprozesse ist warmes Wasser unabdingbar. In der Kalkulation ist die zur Erwärmung notwendige Energie enthalten, die Energiequelle ist für den Systemvergleich irrelevant.</t>
  </si>
  <si>
    <t>Der Wasserbedarf wurde in Anlehnung an das AEL-Merkblatt 25/97, Herstellerangaben und eigene Messungen kalkuliert.</t>
  </si>
  <si>
    <t>Die Kalkulationsmodelle wurden mit dem Ziel erstellt, Orientierungswerte zum Energiebedarf der Milchgewinnung mit verschiedenen Melkanlagen zu geben.</t>
  </si>
  <si>
    <t>Zur Überprüfung und Abschätzung weiterer Varianten steht eine "offene Spalte" zur Verfügung. Hier eingetragene Annahmen können geändert werden.</t>
  </si>
  <si>
    <t>laktierende Kühe</t>
  </si>
  <si>
    <t>Länge Druckleitungen gesamt</t>
  </si>
  <si>
    <t>zu reinigende Innenoberfläche milchführender Teile</t>
  </si>
  <si>
    <t>m²</t>
  </si>
  <si>
    <t>Gemelke/d</t>
  </si>
  <si>
    <t>Wasserbedarf je Gemelk</t>
  </si>
  <si>
    <t>Wasserbedarf je Tag</t>
  </si>
  <si>
    <t>n/d</t>
  </si>
  <si>
    <t>Gelb hinterlegte Felder enthalten Zwischenergebnisse, die an dieser Stelle überschrieben werden können. (Achtung, dabei werden auch Formeln gelöscht!)</t>
  </si>
  <si>
    <t>Grün hinterlegte Felder enthalten Zwischen- oder Endergebnisse und können nicht überschrieben werden.</t>
  </si>
  <si>
    <t>offen</t>
  </si>
  <si>
    <t>Erwärmung von Wasser für Euterduschen etc.</t>
  </si>
  <si>
    <t>Beleuchtung Melkstand incl. Vorwartebereich und Zutrieb</t>
  </si>
  <si>
    <t>Summe Energiebedarf Milchgewinnung</t>
  </si>
  <si>
    <t>Ausstattung (informativ)</t>
  </si>
  <si>
    <t>SbS 2X16</t>
  </si>
  <si>
    <t>Melkplätze je Seite</t>
  </si>
  <si>
    <t>Anzahl Melkstandseiten</t>
  </si>
  <si>
    <t>tats. Fördermenge (Gegendruck/Förderhöhe)</t>
  </si>
  <si>
    <t>KWh/Reinigung</t>
  </si>
  <si>
    <t>Anzahl Reinigungen/d</t>
  </si>
  <si>
    <t>Wh/Gemelk</t>
  </si>
  <si>
    <t>Die Untersuchungen wurde durch das KTBL im Rahmen des Kalkulationsunterlagen-Programms gefördert.</t>
  </si>
  <si>
    <t>sonstige Arbeiten/Störzeiten</t>
  </si>
  <si>
    <t>1. Theoretischer Spülwasserbedarf je Reinigung nach AEL, Merkblatt 25/97</t>
  </si>
  <si>
    <t>KWh/Gemelk</t>
  </si>
  <si>
    <t>kWh/(Kuh*a)</t>
  </si>
  <si>
    <t>KWh/(kg*K)</t>
  </si>
  <si>
    <t>Bearbeitungsdauer zweite Seite komplett</t>
  </si>
  <si>
    <t>kg(Kuh*a)</t>
  </si>
  <si>
    <t>Kg/d</t>
  </si>
  <si>
    <t>Reinigung und Desinfektion der Melkanlage mit Zirkulationsreinigung</t>
  </si>
  <si>
    <t>Installierte Leistung</t>
  </si>
  <si>
    <t>W/MPl.</t>
  </si>
  <si>
    <t>Kompressoren für Druckluft (MZ-Zwischendesinfektion "Airwash")</t>
  </si>
  <si>
    <t>Energiebedarf Milchgewinnung</t>
  </si>
  <si>
    <t>Wasserbedarf Milchgewinnung</t>
  </si>
  <si>
    <t>Arbeitszeit Prozessabschnitt Milchgewinnung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</si>
</sst>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_([$€]* #,##0.00_);_([$€]* \(#,##0.00\);_([$€]* &quot;-&quot;??_);_(@_)"/>
    <numFmt numFmtId="166" formatCode="#,##0.0"/>
    <numFmt numFmtId="167" formatCode="#,##0.000"/>
    <numFmt numFmtId="168" formatCode="_-* #,##0.0\ _€_-;\-* #,##0.0\ _€_-;_-* &quot;-&quot;??\ _€_-;_-@_-"/>
    <numFmt numFmtId="169" formatCode="#,##0.0_ ;\-#,##0.0\ "/>
  </numFmts>
  <fonts count="32" x14ac:knownFonts="1">
    <font>
      <sz val="11"/>
      <color theme="1"/>
      <name val="Calibri"/>
      <family val="2"/>
      <scheme val="minor"/>
    </font>
    <font>
      <sz val="10"/>
      <color theme="1"/>
      <name val="Arial"/>
      <family val="2"/>
    </font>
    <font>
      <sz val="11"/>
      <color theme="1"/>
      <name val="Arial"/>
      <family val="2"/>
    </font>
    <font>
      <sz val="10"/>
      <name val="Arial"/>
      <family val="2"/>
    </font>
    <font>
      <sz val="12"/>
      <name val="Arial"/>
      <family val="2"/>
    </font>
    <font>
      <sz val="9"/>
      <color indexed="81"/>
      <name val="Tahoma"/>
      <family val="2"/>
    </font>
    <font>
      <sz val="8"/>
      <color indexed="81"/>
      <name val="Tahoma"/>
      <family val="2"/>
    </font>
    <font>
      <sz val="10"/>
      <name val="Arial"/>
      <family val="2"/>
    </font>
    <font>
      <sz val="8"/>
      <name val="Arial"/>
      <family val="2"/>
    </font>
    <font>
      <sz val="11"/>
      <color rgb="FF006100"/>
      <name val="Calibri"/>
      <family val="2"/>
      <scheme val="minor"/>
    </font>
    <font>
      <sz val="11"/>
      <color theme="1"/>
      <name val="Calibri"/>
      <family val="2"/>
      <scheme val="minor"/>
    </font>
    <font>
      <b/>
      <sz val="14"/>
      <color indexed="8"/>
      <name val="Arial"/>
      <family val="2"/>
    </font>
    <font>
      <sz val="11"/>
      <color indexed="8"/>
      <name val="Arial"/>
      <family val="2"/>
    </font>
    <font>
      <b/>
      <sz val="11"/>
      <color indexed="8"/>
      <name val="Arial"/>
      <family val="2"/>
    </font>
    <font>
      <sz val="11"/>
      <name val="Arial"/>
      <family val="2"/>
    </font>
    <font>
      <sz val="9"/>
      <color theme="1"/>
      <name val="Arial"/>
      <family val="2"/>
    </font>
    <font>
      <sz val="9"/>
      <name val="Arial"/>
      <family val="2"/>
    </font>
    <font>
      <b/>
      <sz val="9"/>
      <name val="Arial"/>
      <family val="2"/>
    </font>
    <font>
      <b/>
      <sz val="14"/>
      <name val="Arial"/>
      <family val="2"/>
    </font>
    <font>
      <sz val="10"/>
      <color indexed="8"/>
      <name val="Arial"/>
      <family val="2"/>
    </font>
    <font>
      <sz val="10"/>
      <color theme="1"/>
      <name val="Arial"/>
      <family val="2"/>
    </font>
    <font>
      <b/>
      <sz val="10"/>
      <color theme="0" tint="-0.14999847407452621"/>
      <name val="Arial"/>
      <family val="2"/>
    </font>
    <font>
      <sz val="10"/>
      <color theme="0" tint="-0.14999847407452621"/>
      <name val="Arial"/>
      <family val="2"/>
    </font>
    <font>
      <sz val="14"/>
      <color theme="1"/>
      <name val="Arial"/>
      <family val="2"/>
    </font>
    <font>
      <sz val="10"/>
      <color theme="1"/>
      <name val="Calibri"/>
      <family val="2"/>
      <scheme val="minor"/>
    </font>
    <font>
      <sz val="14"/>
      <name val="Arial"/>
      <family val="2"/>
    </font>
    <font>
      <sz val="8"/>
      <color theme="1"/>
      <name val="Calibri"/>
      <family val="2"/>
      <scheme val="minor"/>
    </font>
    <font>
      <b/>
      <sz val="9"/>
      <color theme="0" tint="-0.14999847407452621"/>
      <name val="Arial"/>
      <family val="2"/>
    </font>
    <font>
      <sz val="9"/>
      <color theme="0" tint="-0.14999847407452621"/>
      <name val="Arial"/>
      <family val="2"/>
    </font>
    <font>
      <b/>
      <sz val="8"/>
      <name val="Arial"/>
      <family val="2"/>
    </font>
    <font>
      <sz val="8"/>
      <color theme="1"/>
      <name val="Arial"/>
      <family val="2"/>
    </font>
    <font>
      <sz val="8"/>
      <color indexed="8"/>
      <name val="Arial"/>
      <family val="2"/>
    </font>
  </fonts>
  <fills count="1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27"/>
        <bgColor indexed="64"/>
      </patternFill>
    </fill>
    <fill>
      <patternFill patternType="solid">
        <fgColor rgb="FFC6EFCE"/>
      </patternFill>
    </fill>
    <fill>
      <patternFill patternType="solid">
        <fgColor rgb="FFCCFFFF"/>
        <bgColor indexed="64"/>
      </patternFill>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rgb="FFFF99FF"/>
        <bgColor indexed="64"/>
      </patternFill>
    </fill>
    <fill>
      <patternFill patternType="solid">
        <fgColor rgb="FF66CCFF"/>
        <bgColor indexed="64"/>
      </patternFill>
    </fill>
    <fill>
      <patternFill patternType="solid">
        <fgColor rgb="FFFFCCFF"/>
        <bgColor indexed="64"/>
      </patternFill>
    </fill>
  </fills>
  <borders count="1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165" fontId="7" fillId="0" borderId="0" applyFont="0" applyFill="0" applyBorder="0" applyAlignment="0" applyProtection="0"/>
    <xf numFmtId="0" fontId="9" fillId="7" borderId="0" applyNumberFormat="0" applyBorder="0" applyAlignment="0" applyProtection="0"/>
    <xf numFmtId="0" fontId="7" fillId="0" borderId="0"/>
    <xf numFmtId="0" fontId="7" fillId="0" borderId="0"/>
    <xf numFmtId="0" fontId="3" fillId="0" borderId="0"/>
    <xf numFmtId="43" fontId="10" fillId="0" borderId="0" applyFont="0" applyFill="0" applyBorder="0" applyAlignment="0" applyProtection="0"/>
  </cellStyleXfs>
  <cellXfs count="336">
    <xf numFmtId="0" fontId="0" fillId="0" borderId="0" xfId="0"/>
    <xf numFmtId="0" fontId="1" fillId="0" borderId="0" xfId="0" applyFont="1"/>
    <xf numFmtId="0" fontId="18" fillId="0" borderId="0" xfId="4" applyFont="1" applyAlignment="1" applyProtection="1">
      <alignment vertical="center"/>
      <protection hidden="1"/>
    </xf>
    <xf numFmtId="0" fontId="8" fillId="0" borderId="0" xfId="4" applyFont="1" applyAlignment="1" applyProtection="1">
      <alignment vertical="center"/>
      <protection hidden="1"/>
    </xf>
    <xf numFmtId="0" fontId="25" fillId="0" borderId="0" xfId="4" applyFont="1" applyAlignment="1" applyProtection="1">
      <alignment vertical="center"/>
      <protection hidden="1"/>
    </xf>
    <xf numFmtId="0" fontId="14" fillId="9" borderId="1" xfId="4" applyFont="1" applyFill="1" applyBorder="1" applyAlignment="1" applyProtection="1">
      <alignment vertical="center"/>
      <protection hidden="1"/>
    </xf>
    <xf numFmtId="0" fontId="8" fillId="9" borderId="1" xfId="4" applyFont="1" applyFill="1" applyBorder="1" applyAlignment="1" applyProtection="1">
      <alignment vertical="center"/>
      <protection hidden="1"/>
    </xf>
    <xf numFmtId="0" fontId="14" fillId="9" borderId="1" xfId="4" applyFont="1" applyFill="1" applyBorder="1" applyAlignment="1" applyProtection="1">
      <alignment horizontal="center" vertical="center"/>
      <protection hidden="1"/>
    </xf>
    <xf numFmtId="0" fontId="14" fillId="0" borderId="0" xfId="4" applyFont="1" applyAlignment="1" applyProtection="1">
      <alignment vertical="center"/>
      <protection hidden="1"/>
    </xf>
    <xf numFmtId="0" fontId="3" fillId="9" borderId="2" xfId="4" applyFont="1" applyFill="1" applyBorder="1" applyAlignment="1" applyProtection="1">
      <alignment vertical="center"/>
      <protection hidden="1"/>
    </xf>
    <xf numFmtId="0" fontId="8" fillId="9" borderId="2" xfId="4" applyFont="1" applyFill="1" applyBorder="1" applyAlignment="1" applyProtection="1">
      <alignment vertical="center"/>
      <protection hidden="1"/>
    </xf>
    <xf numFmtId="0" fontId="3" fillId="9" borderId="2" xfId="4" applyFont="1" applyFill="1" applyBorder="1" applyAlignment="1" applyProtection="1">
      <alignment horizontal="center" vertical="center"/>
      <protection hidden="1"/>
    </xf>
    <xf numFmtId="0" fontId="3" fillId="0" borderId="0" xfId="4" applyFont="1" applyAlignment="1" applyProtection="1">
      <alignment vertical="center"/>
      <protection hidden="1"/>
    </xf>
    <xf numFmtId="0" fontId="3" fillId="9" borderId="3" xfId="4" applyFont="1" applyFill="1" applyBorder="1" applyAlignment="1" applyProtection="1">
      <alignment vertical="center"/>
      <protection hidden="1"/>
    </xf>
    <xf numFmtId="0" fontId="8" fillId="9" borderId="3" xfId="4" applyFont="1" applyFill="1" applyBorder="1" applyAlignment="1" applyProtection="1">
      <alignment vertical="center"/>
      <protection hidden="1"/>
    </xf>
    <xf numFmtId="3" fontId="3" fillId="9" borderId="3" xfId="4" applyNumberFormat="1" applyFont="1" applyFill="1" applyBorder="1" applyAlignment="1" applyProtection="1">
      <alignment horizontal="center" vertical="center"/>
      <protection hidden="1"/>
    </xf>
    <xf numFmtId="0" fontId="3" fillId="0" borderId="5" xfId="4" applyFont="1" applyBorder="1" applyAlignment="1" applyProtection="1">
      <alignment vertical="center"/>
      <protection hidden="1"/>
    </xf>
    <xf numFmtId="0" fontId="8" fillId="0" borderId="6" xfId="4" applyFont="1" applyBorder="1" applyAlignment="1" applyProtection="1">
      <alignment vertical="center"/>
      <protection hidden="1"/>
    </xf>
    <xf numFmtId="0" fontId="3" fillId="0" borderId="6" xfId="4" applyFont="1" applyFill="1" applyBorder="1" applyAlignment="1" applyProtection="1">
      <alignment horizontal="center" vertical="center"/>
      <protection hidden="1"/>
    </xf>
    <xf numFmtId="0" fontId="3" fillId="0" borderId="7" xfId="4" applyFont="1" applyFill="1" applyBorder="1" applyAlignment="1" applyProtection="1">
      <alignment horizontal="center" vertical="center"/>
      <protection hidden="1"/>
    </xf>
    <xf numFmtId="3" fontId="3" fillId="0" borderId="6" xfId="4" applyNumberFormat="1" applyFont="1" applyFill="1" applyBorder="1" applyAlignment="1" applyProtection="1">
      <alignment horizontal="center" vertical="center"/>
      <protection hidden="1"/>
    </xf>
    <xf numFmtId="3" fontId="3" fillId="0" borderId="7" xfId="4" applyNumberFormat="1" applyFont="1" applyFill="1" applyBorder="1" applyAlignment="1" applyProtection="1">
      <alignment horizontal="center" vertical="center"/>
      <protection hidden="1"/>
    </xf>
    <xf numFmtId="164" fontId="3" fillId="0" borderId="6" xfId="4" applyNumberFormat="1" applyFont="1" applyFill="1" applyBorder="1" applyAlignment="1" applyProtection="1">
      <alignment horizontal="center" vertical="center"/>
      <protection hidden="1"/>
    </xf>
    <xf numFmtId="164" fontId="3" fillId="0" borderId="7" xfId="4" applyNumberFormat="1" applyFont="1" applyFill="1" applyBorder="1" applyAlignment="1" applyProtection="1">
      <alignment horizontal="center" vertical="center"/>
      <protection hidden="1"/>
    </xf>
    <xf numFmtId="1" fontId="3" fillId="0" borderId="6" xfId="4" applyNumberFormat="1" applyFont="1" applyFill="1" applyBorder="1" applyAlignment="1" applyProtection="1">
      <alignment horizontal="center" vertical="center"/>
      <protection hidden="1"/>
    </xf>
    <xf numFmtId="1" fontId="3" fillId="0" borderId="7" xfId="4" applyNumberFormat="1" applyFont="1" applyFill="1" applyBorder="1" applyAlignment="1" applyProtection="1">
      <alignment horizontal="center" vertical="center"/>
      <protection hidden="1"/>
    </xf>
    <xf numFmtId="0" fontId="3" fillId="0" borderId="1" xfId="4" applyFont="1" applyBorder="1" applyAlignment="1" applyProtection="1">
      <alignment vertical="center"/>
      <protection hidden="1"/>
    </xf>
    <xf numFmtId="0" fontId="8" fillId="0" borderId="1" xfId="4" applyFont="1" applyBorder="1" applyAlignment="1" applyProtection="1">
      <alignment vertical="center"/>
      <protection hidden="1"/>
    </xf>
    <xf numFmtId="0" fontId="3" fillId="8" borderId="1" xfId="4" applyFont="1" applyFill="1" applyBorder="1" applyAlignment="1" applyProtection="1">
      <alignment horizontal="center" vertical="center"/>
      <protection locked="0" hidden="1"/>
    </xf>
    <xf numFmtId="0" fontId="3" fillId="0" borderId="1" xfId="4" applyFont="1" applyFill="1" applyBorder="1" applyAlignment="1" applyProtection="1">
      <alignment horizontal="center" vertical="center"/>
      <protection hidden="1"/>
    </xf>
    <xf numFmtId="0" fontId="3" fillId="0" borderId="2" xfId="4" applyFont="1" applyBorder="1" applyAlignment="1" applyProtection="1">
      <alignment vertical="center"/>
      <protection hidden="1"/>
    </xf>
    <xf numFmtId="0" fontId="8" fillId="0" borderId="2" xfId="4" applyFont="1" applyBorder="1" applyAlignment="1" applyProtection="1">
      <alignment vertical="center"/>
      <protection hidden="1"/>
    </xf>
    <xf numFmtId="0" fontId="3" fillId="2" borderId="2" xfId="4" applyFont="1" applyFill="1" applyBorder="1" applyAlignment="1" applyProtection="1">
      <alignment horizontal="center" vertical="center"/>
      <protection locked="0" hidden="1"/>
    </xf>
    <xf numFmtId="0" fontId="3" fillId="0" borderId="2" xfId="4" applyFont="1" applyFill="1" applyBorder="1" applyAlignment="1" applyProtection="1">
      <alignment horizontal="center" vertical="center"/>
      <protection hidden="1"/>
    </xf>
    <xf numFmtId="0" fontId="3" fillId="0" borderId="3" xfId="4" applyFont="1" applyFill="1" applyBorder="1" applyAlignment="1" applyProtection="1">
      <alignment vertical="center"/>
      <protection hidden="1"/>
    </xf>
    <xf numFmtId="0" fontId="8" fillId="0" borderId="3" xfId="4" applyFont="1" applyFill="1" applyBorder="1" applyAlignment="1" applyProtection="1">
      <alignment vertical="center"/>
      <protection hidden="1"/>
    </xf>
    <xf numFmtId="0" fontId="3" fillId="2" borderId="3" xfId="4" applyFont="1" applyFill="1" applyBorder="1" applyAlignment="1" applyProtection="1">
      <alignment horizontal="center" vertical="center"/>
      <protection locked="0" hidden="1"/>
    </xf>
    <xf numFmtId="0" fontId="3" fillId="0" borderId="3" xfId="4" applyFont="1" applyFill="1" applyBorder="1" applyAlignment="1" applyProtection="1">
      <alignment horizontal="center" vertical="center"/>
      <protection hidden="1"/>
    </xf>
    <xf numFmtId="0" fontId="0" fillId="0" borderId="0" xfId="0" applyAlignment="1" applyProtection="1">
      <alignment vertical="center"/>
      <protection hidden="1"/>
    </xf>
    <xf numFmtId="0" fontId="26" fillId="0" borderId="0" xfId="0" applyFont="1" applyAlignment="1" applyProtection="1">
      <alignment vertical="center"/>
      <protection hidden="1"/>
    </xf>
    <xf numFmtId="0" fontId="14" fillId="12" borderId="11" xfId="3" applyFont="1" applyFill="1" applyBorder="1" applyAlignment="1" applyProtection="1">
      <alignment vertical="center"/>
      <protection hidden="1"/>
    </xf>
    <xf numFmtId="0" fontId="8" fillId="12" borderId="12" xfId="4" applyFont="1" applyFill="1" applyBorder="1" applyAlignment="1" applyProtection="1">
      <alignment horizontal="center" vertical="center"/>
      <protection hidden="1"/>
    </xf>
    <xf numFmtId="164" fontId="14" fillId="12" borderId="12" xfId="4" applyNumberFormat="1" applyFont="1" applyFill="1" applyBorder="1" applyAlignment="1" applyProtection="1">
      <alignment horizontal="center" vertical="center"/>
      <protection hidden="1"/>
    </xf>
    <xf numFmtId="164" fontId="14" fillId="12" borderId="13" xfId="4" applyNumberFormat="1" applyFont="1" applyFill="1" applyBorder="1" applyAlignment="1" applyProtection="1">
      <alignment horizontal="center" vertical="center"/>
      <protection hidden="1"/>
    </xf>
    <xf numFmtId="2" fontId="3" fillId="0" borderId="0" xfId="4" applyNumberFormat="1" applyFont="1" applyFill="1" applyBorder="1" applyAlignment="1" applyProtection="1">
      <alignment vertical="center"/>
      <protection hidden="1"/>
    </xf>
    <xf numFmtId="0" fontId="3" fillId="0" borderId="0" xfId="4" applyFont="1" applyFill="1" applyBorder="1" applyAlignment="1" applyProtection="1">
      <alignment vertical="center"/>
      <protection hidden="1"/>
    </xf>
    <xf numFmtId="0" fontId="3" fillId="14" borderId="11" xfId="3" applyFont="1" applyFill="1" applyBorder="1" applyAlignment="1" applyProtection="1">
      <alignment vertical="center"/>
      <protection hidden="1"/>
    </xf>
    <xf numFmtId="0" fontId="8" fillId="14" borderId="12" xfId="4" applyFont="1" applyFill="1" applyBorder="1" applyAlignment="1" applyProtection="1">
      <alignment horizontal="center" vertical="center"/>
      <protection hidden="1"/>
    </xf>
    <xf numFmtId="164" fontId="3" fillId="14" borderId="12" xfId="4" applyNumberFormat="1" applyFont="1" applyFill="1" applyBorder="1" applyAlignment="1" applyProtection="1">
      <alignment horizontal="center" vertical="center"/>
      <protection hidden="1"/>
    </xf>
    <xf numFmtId="164" fontId="3" fillId="14" borderId="13" xfId="4" applyNumberFormat="1" applyFont="1" applyFill="1" applyBorder="1" applyAlignment="1" applyProtection="1">
      <alignment horizontal="center" vertical="center"/>
      <protection hidden="1"/>
    </xf>
    <xf numFmtId="2" fontId="3" fillId="0" borderId="1" xfId="4" applyNumberFormat="1" applyFont="1" applyFill="1" applyBorder="1" applyAlignment="1" applyProtection="1">
      <alignment horizontal="left" vertical="center"/>
      <protection hidden="1"/>
    </xf>
    <xf numFmtId="2" fontId="8" fillId="0" borderId="1" xfId="4" applyNumberFormat="1" applyFont="1" applyFill="1" applyBorder="1" applyAlignment="1" applyProtection="1">
      <alignment horizontal="center" vertical="center"/>
      <protection hidden="1"/>
    </xf>
    <xf numFmtId="2" fontId="3" fillId="8" borderId="1" xfId="4" applyNumberFormat="1" applyFont="1" applyFill="1" applyBorder="1" applyAlignment="1" applyProtection="1">
      <alignment horizontal="center" vertical="center"/>
      <protection locked="0" hidden="1"/>
    </xf>
    <xf numFmtId="2" fontId="3" fillId="0" borderId="1" xfId="4" applyNumberFormat="1" applyFont="1" applyFill="1" applyBorder="1" applyAlignment="1" applyProtection="1">
      <alignment horizontal="center" vertical="center"/>
      <protection hidden="1"/>
    </xf>
    <xf numFmtId="2" fontId="3" fillId="0" borderId="2" xfId="4" applyNumberFormat="1" applyFont="1" applyFill="1" applyBorder="1" applyAlignment="1" applyProtection="1">
      <alignment horizontal="left" vertical="center"/>
      <protection hidden="1"/>
    </xf>
    <xf numFmtId="2" fontId="8" fillId="0" borderId="2" xfId="4" applyNumberFormat="1" applyFont="1" applyFill="1" applyBorder="1" applyAlignment="1" applyProtection="1">
      <alignment horizontal="center" vertical="center"/>
      <protection hidden="1"/>
    </xf>
    <xf numFmtId="2" fontId="3" fillId="8" borderId="2" xfId="4" applyNumberFormat="1" applyFont="1" applyFill="1" applyBorder="1" applyAlignment="1" applyProtection="1">
      <alignment horizontal="center" vertical="center"/>
      <protection locked="0" hidden="1"/>
    </xf>
    <xf numFmtId="2" fontId="3" fillId="0" borderId="2" xfId="4" applyNumberFormat="1" applyFont="1" applyFill="1" applyBorder="1" applyAlignment="1" applyProtection="1">
      <alignment horizontal="center" vertical="center"/>
      <protection hidden="1"/>
    </xf>
    <xf numFmtId="2" fontId="3" fillId="0" borderId="3" xfId="4" applyNumberFormat="1" applyFont="1" applyFill="1" applyBorder="1" applyAlignment="1" applyProtection="1">
      <alignment horizontal="left" vertical="center"/>
      <protection hidden="1"/>
    </xf>
    <xf numFmtId="2" fontId="8" fillId="0" borderId="3" xfId="4" applyNumberFormat="1" applyFont="1" applyFill="1" applyBorder="1" applyAlignment="1" applyProtection="1">
      <alignment horizontal="center" vertical="center"/>
      <protection hidden="1"/>
    </xf>
    <xf numFmtId="2" fontId="3" fillId="10" borderId="3" xfId="4" applyNumberFormat="1" applyFont="1" applyFill="1" applyBorder="1" applyAlignment="1" applyProtection="1">
      <alignment horizontal="center" vertical="center"/>
      <protection hidden="1"/>
    </xf>
    <xf numFmtId="2" fontId="3" fillId="0" borderId="3" xfId="4" applyNumberFormat="1" applyFont="1" applyFill="1" applyBorder="1" applyAlignment="1" applyProtection="1">
      <alignment horizontal="center" vertical="center"/>
      <protection hidden="1"/>
    </xf>
    <xf numFmtId="0" fontId="3" fillId="0" borderId="1" xfId="4" applyFont="1" applyFill="1" applyBorder="1" applyAlignment="1" applyProtection="1">
      <alignment vertical="center"/>
      <protection hidden="1"/>
    </xf>
    <xf numFmtId="0" fontId="8" fillId="0" borderId="1" xfId="4" applyFont="1" applyFill="1" applyBorder="1" applyAlignment="1" applyProtection="1">
      <alignment horizontal="center" vertical="center"/>
      <protection hidden="1"/>
    </xf>
    <xf numFmtId="164" fontId="3" fillId="3" borderId="1" xfId="4" applyNumberFormat="1" applyFont="1" applyFill="1" applyBorder="1" applyAlignment="1" applyProtection="1">
      <alignment horizontal="center" vertical="center"/>
      <protection hidden="1"/>
    </xf>
    <xf numFmtId="164" fontId="3" fillId="0" borderId="1" xfId="4" applyNumberFormat="1" applyFont="1" applyFill="1" applyBorder="1" applyAlignment="1" applyProtection="1">
      <alignment horizontal="center" vertical="center"/>
      <protection hidden="1"/>
    </xf>
    <xf numFmtId="0" fontId="3" fillId="0" borderId="2" xfId="4" applyFont="1" applyFill="1" applyBorder="1" applyAlignment="1" applyProtection="1">
      <alignment vertical="center"/>
      <protection hidden="1"/>
    </xf>
    <xf numFmtId="0" fontId="8" fillId="0" borderId="2" xfId="4" applyFont="1" applyFill="1" applyBorder="1" applyAlignment="1" applyProtection="1">
      <alignment horizontal="center" vertical="center"/>
      <protection hidden="1"/>
    </xf>
    <xf numFmtId="164" fontId="3" fillId="3" borderId="2" xfId="4" applyNumberFormat="1" applyFont="1" applyFill="1" applyBorder="1" applyAlignment="1" applyProtection="1">
      <alignment horizontal="center" vertical="center"/>
      <protection hidden="1"/>
    </xf>
    <xf numFmtId="164" fontId="3" fillId="0" borderId="2" xfId="4" applyNumberFormat="1" applyFont="1" applyFill="1" applyBorder="1" applyAlignment="1" applyProtection="1">
      <alignment horizontal="center" vertical="center"/>
      <protection hidden="1"/>
    </xf>
    <xf numFmtId="0" fontId="3" fillId="0" borderId="0" xfId="4" applyFont="1" applyAlignment="1" applyProtection="1">
      <alignment horizontal="left" vertical="center"/>
      <protection hidden="1"/>
    </xf>
    <xf numFmtId="0" fontId="3" fillId="0" borderId="4" xfId="4" applyFont="1" applyFill="1" applyBorder="1" applyAlignment="1" applyProtection="1">
      <alignment vertical="center"/>
      <protection hidden="1"/>
    </xf>
    <xf numFmtId="0" fontId="8" fillId="0" borderId="4" xfId="4" applyFont="1" applyFill="1" applyBorder="1" applyAlignment="1" applyProtection="1">
      <alignment horizontal="center" vertical="center"/>
      <protection hidden="1"/>
    </xf>
    <xf numFmtId="164" fontId="3" fillId="3" borderId="4" xfId="4" applyNumberFormat="1" applyFont="1" applyFill="1" applyBorder="1" applyAlignment="1" applyProtection="1">
      <alignment horizontal="center" vertical="center"/>
      <protection hidden="1"/>
    </xf>
    <xf numFmtId="164" fontId="3" fillId="0" borderId="4" xfId="4" applyNumberFormat="1" applyFont="1" applyFill="1" applyBorder="1" applyAlignment="1" applyProtection="1">
      <alignment horizontal="center" vertical="center"/>
      <protection hidden="1"/>
    </xf>
    <xf numFmtId="0" fontId="3" fillId="0" borderId="10" xfId="4" applyFont="1" applyFill="1" applyBorder="1" applyAlignment="1" applyProtection="1">
      <alignment vertical="center"/>
      <protection hidden="1"/>
    </xf>
    <xf numFmtId="0" fontId="8" fillId="0" borderId="10" xfId="4" applyFont="1" applyFill="1" applyBorder="1" applyAlignment="1" applyProtection="1">
      <alignment horizontal="center" vertical="center"/>
      <protection hidden="1"/>
    </xf>
    <xf numFmtId="164" fontId="3" fillId="3" borderId="10" xfId="4" applyNumberFormat="1" applyFont="1" applyFill="1" applyBorder="1" applyAlignment="1" applyProtection="1">
      <alignment horizontal="center" vertical="center"/>
      <protection hidden="1"/>
    </xf>
    <xf numFmtId="164" fontId="3" fillId="0" borderId="10" xfId="4" applyNumberFormat="1" applyFont="1" applyFill="1" applyBorder="1" applyAlignment="1" applyProtection="1">
      <alignment horizontal="center" vertical="center"/>
      <protection hidden="1"/>
    </xf>
    <xf numFmtId="0" fontId="3" fillId="0" borderId="0" xfId="4" applyFont="1" applyAlignment="1" applyProtection="1">
      <alignment horizontal="right" vertical="center"/>
      <protection hidden="1"/>
    </xf>
    <xf numFmtId="0" fontId="3" fillId="0" borderId="1" xfId="4" applyFont="1" applyFill="1" applyBorder="1" applyAlignment="1" applyProtection="1">
      <alignment horizontal="left" vertical="center"/>
      <protection hidden="1"/>
    </xf>
    <xf numFmtId="164" fontId="3" fillId="10" borderId="1" xfId="4" applyNumberFormat="1" applyFont="1" applyFill="1" applyBorder="1" applyAlignment="1" applyProtection="1">
      <alignment horizontal="center" vertical="center"/>
      <protection hidden="1"/>
    </xf>
    <xf numFmtId="0" fontId="3" fillId="0" borderId="0" xfId="4" applyFont="1" applyFill="1" applyBorder="1" applyAlignment="1" applyProtection="1">
      <alignment horizontal="right" vertical="center"/>
      <protection hidden="1"/>
    </xf>
    <xf numFmtId="0" fontId="3" fillId="0" borderId="2" xfId="4" applyFont="1" applyFill="1" applyBorder="1" applyAlignment="1" applyProtection="1">
      <alignment horizontal="left" vertical="center"/>
      <protection hidden="1"/>
    </xf>
    <xf numFmtId="164" fontId="3" fillId="10" borderId="2" xfId="4" applyNumberFormat="1" applyFont="1" applyFill="1" applyBorder="1" applyAlignment="1" applyProtection="1">
      <alignment horizontal="center" vertical="center"/>
      <protection hidden="1"/>
    </xf>
    <xf numFmtId="0" fontId="3" fillId="0" borderId="3" xfId="4" applyFont="1" applyFill="1" applyBorder="1" applyAlignment="1" applyProtection="1">
      <alignment horizontal="left" vertical="center"/>
      <protection hidden="1"/>
    </xf>
    <xf numFmtId="0" fontId="8" fillId="0" borderId="3" xfId="4" applyFont="1" applyFill="1" applyBorder="1" applyAlignment="1" applyProtection="1">
      <alignment horizontal="center" vertical="center"/>
      <protection hidden="1"/>
    </xf>
    <xf numFmtId="164" fontId="3" fillId="10" borderId="3" xfId="4" applyNumberFormat="1" applyFont="1" applyFill="1" applyBorder="1" applyAlignment="1" applyProtection="1">
      <alignment horizontal="center" vertical="center"/>
      <protection hidden="1"/>
    </xf>
    <xf numFmtId="164" fontId="3" fillId="0" borderId="3" xfId="4" applyNumberFormat="1" applyFont="1" applyFill="1" applyBorder="1" applyAlignment="1" applyProtection="1">
      <alignment horizontal="center" vertical="center"/>
      <protection hidden="1"/>
    </xf>
    <xf numFmtId="1" fontId="3" fillId="10" borderId="2" xfId="4" applyNumberFormat="1" applyFont="1" applyFill="1" applyBorder="1" applyAlignment="1" applyProtection="1">
      <alignment horizontal="center" vertical="center"/>
      <protection hidden="1"/>
    </xf>
    <xf numFmtId="1" fontId="3" fillId="0" borderId="2" xfId="4" applyNumberFormat="1" applyFont="1" applyFill="1" applyBorder="1" applyAlignment="1" applyProtection="1">
      <alignment horizontal="center" vertical="center"/>
      <protection hidden="1"/>
    </xf>
    <xf numFmtId="1" fontId="3" fillId="0" borderId="2" xfId="4" applyNumberFormat="1" applyFont="1" applyFill="1" applyBorder="1" applyAlignment="1" applyProtection="1">
      <alignment horizontal="left" vertical="center"/>
      <protection hidden="1"/>
    </xf>
    <xf numFmtId="1" fontId="8" fillId="0" borderId="2" xfId="4" applyNumberFormat="1" applyFont="1" applyFill="1" applyBorder="1" applyAlignment="1" applyProtection="1">
      <alignment horizontal="center" vertical="center"/>
      <protection hidden="1"/>
    </xf>
    <xf numFmtId="1" fontId="3" fillId="3" borderId="2" xfId="4" applyNumberFormat="1" applyFont="1" applyFill="1" applyBorder="1" applyAlignment="1" applyProtection="1">
      <alignment horizontal="center" vertical="center"/>
      <protection hidden="1"/>
    </xf>
    <xf numFmtId="0" fontId="24" fillId="0" borderId="0" xfId="0" applyFont="1" applyAlignment="1" applyProtection="1">
      <alignment vertical="center"/>
      <protection hidden="1"/>
    </xf>
    <xf numFmtId="0" fontId="3" fillId="11" borderId="2" xfId="4" applyFont="1" applyFill="1" applyBorder="1" applyAlignment="1" applyProtection="1">
      <alignment horizontal="center" vertical="center"/>
      <protection locked="0" hidden="1"/>
    </xf>
    <xf numFmtId="164" fontId="3" fillId="3" borderId="3" xfId="4" applyNumberFormat="1" applyFont="1" applyFill="1" applyBorder="1" applyAlignment="1" applyProtection="1">
      <alignment horizontal="center" vertical="center"/>
      <protection hidden="1"/>
    </xf>
    <xf numFmtId="0" fontId="3" fillId="2" borderId="1" xfId="4" applyFont="1" applyFill="1" applyBorder="1" applyAlignment="1" applyProtection="1">
      <alignment horizontal="center" vertical="center"/>
      <protection locked="0" hidden="1"/>
    </xf>
    <xf numFmtId="2" fontId="3" fillId="0" borderId="0" xfId="4" applyNumberFormat="1" applyFont="1" applyAlignment="1" applyProtection="1">
      <alignment vertical="center"/>
      <protection hidden="1"/>
    </xf>
    <xf numFmtId="2" fontId="3" fillId="11" borderId="1" xfId="4" applyNumberFormat="1" applyFont="1" applyFill="1" applyBorder="1" applyAlignment="1" applyProtection="1">
      <alignment horizontal="center" vertical="center"/>
      <protection locked="0" hidden="1"/>
    </xf>
    <xf numFmtId="1" fontId="3" fillId="3" borderId="1" xfId="4" applyNumberFormat="1" applyFont="1" applyFill="1" applyBorder="1" applyAlignment="1" applyProtection="1">
      <alignment horizontal="center" vertical="center"/>
      <protection hidden="1"/>
    </xf>
    <xf numFmtId="1" fontId="3" fillId="0" borderId="1" xfId="4" applyNumberFormat="1" applyFont="1" applyFill="1" applyBorder="1" applyAlignment="1" applyProtection="1">
      <alignment horizontal="center" vertical="center"/>
      <protection hidden="1"/>
    </xf>
    <xf numFmtId="0" fontId="14" fillId="12" borderId="14" xfId="3" applyFont="1" applyFill="1" applyBorder="1" applyAlignment="1" applyProtection="1">
      <alignment vertical="center"/>
      <protection hidden="1"/>
    </xf>
    <xf numFmtId="0" fontId="8" fillId="12" borderId="15" xfId="4" applyFont="1" applyFill="1" applyBorder="1" applyAlignment="1" applyProtection="1">
      <alignment horizontal="center" vertical="center"/>
      <protection hidden="1"/>
    </xf>
    <xf numFmtId="164" fontId="14" fillId="12" borderId="15" xfId="4" applyNumberFormat="1" applyFont="1" applyFill="1" applyBorder="1" applyAlignment="1" applyProtection="1">
      <alignment horizontal="center" vertical="center"/>
      <protection hidden="1"/>
    </xf>
    <xf numFmtId="164" fontId="14" fillId="12" borderId="16" xfId="4" applyNumberFormat="1" applyFont="1" applyFill="1" applyBorder="1" applyAlignment="1" applyProtection="1">
      <alignment horizontal="center" vertical="center"/>
      <protection hidden="1"/>
    </xf>
    <xf numFmtId="0" fontId="3" fillId="0" borderId="1" xfId="3" applyFont="1" applyFill="1" applyBorder="1" applyAlignment="1" applyProtection="1">
      <alignment vertical="center"/>
      <protection hidden="1"/>
    </xf>
    <xf numFmtId="2" fontId="8" fillId="0" borderId="1" xfId="3" applyNumberFormat="1" applyFont="1" applyFill="1" applyBorder="1" applyAlignment="1" applyProtection="1">
      <alignment horizontal="center" vertical="center"/>
      <protection hidden="1"/>
    </xf>
    <xf numFmtId="2" fontId="3" fillId="3" borderId="1" xfId="3" applyNumberFormat="1" applyFont="1" applyFill="1" applyBorder="1" applyAlignment="1" applyProtection="1">
      <alignment horizontal="center" vertical="center"/>
      <protection hidden="1"/>
    </xf>
    <xf numFmtId="2" fontId="3" fillId="0" borderId="1" xfId="3" applyNumberFormat="1" applyFont="1" applyFill="1" applyBorder="1" applyAlignment="1" applyProtection="1">
      <alignment horizontal="center" vertical="center"/>
      <protection hidden="1"/>
    </xf>
    <xf numFmtId="0" fontId="3" fillId="0" borderId="2" xfId="3" applyFont="1" applyFill="1" applyBorder="1" applyAlignment="1" applyProtection="1">
      <alignment vertical="center"/>
      <protection hidden="1"/>
    </xf>
    <xf numFmtId="2" fontId="8" fillId="0" borderId="2" xfId="3" applyNumberFormat="1" applyFont="1" applyFill="1" applyBorder="1" applyAlignment="1" applyProtection="1">
      <alignment horizontal="center" vertical="center"/>
      <protection hidden="1"/>
    </xf>
    <xf numFmtId="2" fontId="3" fillId="3" borderId="2" xfId="3" applyNumberFormat="1" applyFont="1" applyFill="1" applyBorder="1" applyAlignment="1" applyProtection="1">
      <alignment horizontal="center" vertical="center"/>
      <protection hidden="1"/>
    </xf>
    <xf numFmtId="2" fontId="3" fillId="0" borderId="2" xfId="3" applyNumberFormat="1" applyFont="1" applyFill="1" applyBorder="1" applyAlignment="1" applyProtection="1">
      <alignment horizontal="center" vertical="center"/>
      <protection hidden="1"/>
    </xf>
    <xf numFmtId="0" fontId="3" fillId="0" borderId="3" xfId="3" applyFont="1" applyFill="1" applyBorder="1" applyAlignment="1" applyProtection="1">
      <alignment vertical="center"/>
      <protection hidden="1"/>
    </xf>
    <xf numFmtId="2" fontId="8" fillId="0" borderId="3" xfId="3" applyNumberFormat="1" applyFont="1" applyFill="1" applyBorder="1" applyAlignment="1" applyProtection="1">
      <alignment horizontal="center" vertical="center"/>
      <protection hidden="1"/>
    </xf>
    <xf numFmtId="2" fontId="3" fillId="3" borderId="3" xfId="3" applyNumberFormat="1" applyFont="1" applyFill="1" applyBorder="1" applyAlignment="1" applyProtection="1">
      <alignment horizontal="center" vertical="center"/>
      <protection hidden="1"/>
    </xf>
    <xf numFmtId="2" fontId="3" fillId="0" borderId="3" xfId="3" applyNumberFormat="1" applyFont="1" applyFill="1" applyBorder="1" applyAlignment="1" applyProtection="1">
      <alignment horizontal="center" vertical="center"/>
      <protection hidden="1"/>
    </xf>
    <xf numFmtId="0" fontId="14" fillId="0" borderId="10" xfId="3" applyFont="1" applyFill="1" applyBorder="1" applyAlignment="1" applyProtection="1">
      <alignment vertical="center"/>
      <protection hidden="1"/>
    </xf>
    <xf numFmtId="164" fontId="8" fillId="0" borderId="10" xfId="3" applyNumberFormat="1" applyFont="1" applyFill="1" applyBorder="1" applyAlignment="1" applyProtection="1">
      <alignment horizontal="center" vertical="center"/>
      <protection hidden="1"/>
    </xf>
    <xf numFmtId="164" fontId="14" fillId="10" borderId="10" xfId="3" applyNumberFormat="1" applyFont="1" applyFill="1" applyBorder="1" applyAlignment="1" applyProtection="1">
      <alignment horizontal="center" vertical="center"/>
      <protection hidden="1"/>
    </xf>
    <xf numFmtId="164" fontId="14" fillId="0" borderId="10" xfId="3" applyNumberFormat="1" applyFont="1" applyFill="1" applyBorder="1" applyAlignment="1" applyProtection="1">
      <alignment horizontal="center" vertical="center"/>
      <protection hidden="1"/>
    </xf>
    <xf numFmtId="2" fontId="8" fillId="0" borderId="10" xfId="3" applyNumberFormat="1" applyFont="1" applyFill="1" applyBorder="1" applyAlignment="1" applyProtection="1">
      <alignment horizontal="center" vertical="center"/>
      <protection hidden="1"/>
    </xf>
    <xf numFmtId="2" fontId="14" fillId="10" borderId="10" xfId="3" applyNumberFormat="1" applyFont="1" applyFill="1" applyBorder="1" applyAlignment="1" applyProtection="1">
      <alignment horizontal="center" vertical="center"/>
      <protection hidden="1"/>
    </xf>
    <xf numFmtId="2" fontId="14" fillId="0" borderId="10" xfId="3" applyNumberFormat="1" applyFont="1" applyFill="1" applyBorder="1" applyAlignment="1" applyProtection="1">
      <alignment horizontal="center" vertical="center"/>
      <protection hidden="1"/>
    </xf>
    <xf numFmtId="0" fontId="3" fillId="0" borderId="5" xfId="4" applyFont="1" applyFill="1" applyBorder="1" applyAlignment="1" applyProtection="1">
      <alignment vertical="center"/>
      <protection hidden="1"/>
    </xf>
    <xf numFmtId="0" fontId="8" fillId="0" borderId="6" xfId="4" applyFont="1" applyFill="1" applyBorder="1" applyAlignment="1" applyProtection="1">
      <alignment vertical="center"/>
      <protection hidden="1"/>
    </xf>
    <xf numFmtId="0" fontId="3" fillId="0" borderId="6" xfId="4" applyFont="1" applyBorder="1" applyAlignment="1" applyProtection="1">
      <alignment vertical="center"/>
      <protection hidden="1"/>
    </xf>
    <xf numFmtId="0" fontId="3" fillId="0" borderId="6" xfId="4" applyFont="1" applyFill="1" applyBorder="1" applyAlignment="1" applyProtection="1">
      <alignment vertical="center"/>
      <protection hidden="1"/>
    </xf>
    <xf numFmtId="0" fontId="3" fillId="0" borderId="8" xfId="4" applyFont="1" applyFill="1" applyBorder="1" applyAlignment="1" applyProtection="1">
      <alignment vertical="center"/>
      <protection hidden="1"/>
    </xf>
    <xf numFmtId="1" fontId="8" fillId="0" borderId="10" xfId="4" applyNumberFormat="1" applyFont="1" applyFill="1" applyBorder="1" applyAlignment="1" applyProtection="1">
      <alignment horizontal="center" vertical="center"/>
      <protection hidden="1"/>
    </xf>
    <xf numFmtId="1" fontId="3" fillId="3" borderId="10" xfId="4" applyNumberFormat="1" applyFont="1" applyFill="1" applyBorder="1" applyAlignment="1" applyProtection="1">
      <alignment horizontal="center" vertical="center"/>
      <protection hidden="1"/>
    </xf>
    <xf numFmtId="1" fontId="3" fillId="0" borderId="10" xfId="4" applyNumberFormat="1" applyFont="1" applyFill="1" applyBorder="1" applyAlignment="1" applyProtection="1">
      <alignment horizontal="center" vertical="center"/>
      <protection hidden="1"/>
    </xf>
    <xf numFmtId="0" fontId="29" fillId="0" borderId="0" xfId="4" applyFont="1" applyAlignment="1" applyProtection="1">
      <alignment vertical="center"/>
      <protection hidden="1"/>
    </xf>
    <xf numFmtId="0" fontId="4" fillId="0" borderId="0" xfId="4" applyFont="1" applyAlignment="1" applyProtection="1">
      <alignment vertical="center"/>
      <protection hidden="1"/>
    </xf>
    <xf numFmtId="0" fontId="3" fillId="9" borderId="1" xfId="4" applyFont="1" applyFill="1" applyBorder="1" applyAlignment="1" applyProtection="1">
      <alignment vertical="center"/>
      <protection hidden="1"/>
    </xf>
    <xf numFmtId="0" fontId="3" fillId="9" borderId="1" xfId="4" applyFont="1" applyFill="1" applyBorder="1" applyAlignment="1" applyProtection="1">
      <alignment horizontal="center" vertical="center"/>
      <protection hidden="1"/>
    </xf>
    <xf numFmtId="0" fontId="14" fillId="9" borderId="3" xfId="4" applyFont="1" applyFill="1" applyBorder="1" applyAlignment="1" applyProtection="1">
      <alignment vertical="center"/>
      <protection hidden="1"/>
    </xf>
    <xf numFmtId="0" fontId="14" fillId="8" borderId="3" xfId="4" applyFont="1" applyFill="1" applyBorder="1" applyAlignment="1" applyProtection="1">
      <alignment horizontal="center" vertical="center"/>
      <protection locked="0" hidden="1"/>
    </xf>
    <xf numFmtId="0" fontId="14" fillId="9" borderId="3" xfId="4" applyFont="1" applyFill="1" applyBorder="1" applyAlignment="1" applyProtection="1">
      <alignment horizontal="center" vertical="center"/>
      <protection hidden="1"/>
    </xf>
    <xf numFmtId="3" fontId="3" fillId="2" borderId="1" xfId="4" applyNumberFormat="1" applyFont="1" applyFill="1" applyBorder="1" applyAlignment="1" applyProtection="1">
      <alignment horizontal="center" vertical="center"/>
      <protection locked="0" hidden="1"/>
    </xf>
    <xf numFmtId="3" fontId="3" fillId="0" borderId="1" xfId="4" applyNumberFormat="1" applyFont="1" applyFill="1" applyBorder="1" applyAlignment="1" applyProtection="1">
      <alignment horizontal="center" vertical="center"/>
      <protection hidden="1"/>
    </xf>
    <xf numFmtId="3" fontId="3" fillId="11" borderId="2" xfId="4" applyNumberFormat="1" applyFont="1" applyFill="1" applyBorder="1" applyAlignment="1" applyProtection="1">
      <alignment horizontal="center" vertical="center"/>
      <protection locked="0" hidden="1"/>
    </xf>
    <xf numFmtId="3" fontId="3" fillId="0" borderId="2" xfId="4" applyNumberFormat="1" applyFont="1" applyFill="1" applyBorder="1" applyAlignment="1" applyProtection="1">
      <alignment horizontal="center" vertical="center"/>
      <protection hidden="1"/>
    </xf>
    <xf numFmtId="3" fontId="3" fillId="2" borderId="2" xfId="4" applyNumberFormat="1" applyFont="1" applyFill="1" applyBorder="1" applyAlignment="1" applyProtection="1">
      <alignment horizontal="center" vertical="center"/>
      <protection locked="0" hidden="1"/>
    </xf>
    <xf numFmtId="3" fontId="3" fillId="3" borderId="2" xfId="4" applyNumberFormat="1" applyFont="1" applyFill="1" applyBorder="1" applyAlignment="1" applyProtection="1">
      <alignment horizontal="center" vertical="center"/>
      <protection hidden="1"/>
    </xf>
    <xf numFmtId="1" fontId="3" fillId="6" borderId="2" xfId="4" applyNumberFormat="1" applyFont="1" applyFill="1" applyBorder="1" applyAlignment="1" applyProtection="1">
      <alignment horizontal="center" vertical="center"/>
      <protection locked="0" hidden="1"/>
    </xf>
    <xf numFmtId="164" fontId="3" fillId="2" borderId="2" xfId="4" applyNumberFormat="1" applyFont="1" applyFill="1" applyBorder="1" applyAlignment="1" applyProtection="1">
      <alignment horizontal="center" vertical="center"/>
      <protection locked="0" hidden="1"/>
    </xf>
    <xf numFmtId="0" fontId="14" fillId="9" borderId="11" xfId="4" applyFont="1" applyFill="1" applyBorder="1" applyAlignment="1" applyProtection="1">
      <alignment vertical="center"/>
      <protection hidden="1"/>
    </xf>
    <xf numFmtId="0" fontId="29" fillId="9" borderId="12" xfId="4" applyFont="1" applyFill="1" applyBorder="1" applyAlignment="1" applyProtection="1">
      <alignment vertical="center"/>
      <protection hidden="1"/>
    </xf>
    <xf numFmtId="0" fontId="14" fillId="9" borderId="12" xfId="4" applyFont="1" applyFill="1" applyBorder="1" applyAlignment="1" applyProtection="1">
      <alignment vertical="center"/>
      <protection hidden="1"/>
    </xf>
    <xf numFmtId="0" fontId="14" fillId="9" borderId="13" xfId="4" applyFont="1" applyFill="1" applyBorder="1" applyAlignment="1" applyProtection="1">
      <alignment vertical="center"/>
      <protection hidden="1"/>
    </xf>
    <xf numFmtId="164" fontId="3" fillId="8" borderId="1" xfId="4" applyNumberFormat="1" applyFont="1" applyFill="1" applyBorder="1" applyAlignment="1" applyProtection="1">
      <alignment horizontal="center" vertical="center"/>
      <protection locked="0" hidden="1"/>
    </xf>
    <xf numFmtId="164" fontId="3" fillId="8" borderId="2" xfId="4" applyNumberFormat="1" applyFont="1" applyFill="1" applyBorder="1" applyAlignment="1" applyProtection="1">
      <alignment horizontal="center" vertical="center"/>
      <protection locked="0" hidden="1"/>
    </xf>
    <xf numFmtId="0" fontId="3" fillId="0" borderId="3" xfId="4" applyFont="1" applyBorder="1" applyAlignment="1" applyProtection="1">
      <alignment vertical="center"/>
      <protection hidden="1"/>
    </xf>
    <xf numFmtId="0" fontId="8" fillId="0" borderId="3" xfId="4" applyFont="1" applyBorder="1" applyAlignment="1" applyProtection="1">
      <alignment vertical="center"/>
      <protection hidden="1"/>
    </xf>
    <xf numFmtId="164" fontId="3" fillId="8" borderId="3" xfId="4" applyNumberFormat="1" applyFont="1" applyFill="1" applyBorder="1" applyAlignment="1" applyProtection="1">
      <alignment horizontal="center" vertical="center"/>
      <protection locked="0" hidden="1"/>
    </xf>
    <xf numFmtId="0" fontId="17" fillId="0" borderId="0" xfId="4" applyFont="1" applyAlignment="1" applyProtection="1">
      <alignment horizontal="center" vertical="center"/>
      <protection hidden="1"/>
    </xf>
    <xf numFmtId="0" fontId="16" fillId="9" borderId="1" xfId="4" applyFont="1" applyFill="1" applyBorder="1" applyAlignment="1" applyProtection="1">
      <alignment horizontal="center" vertical="center"/>
      <protection hidden="1"/>
    </xf>
    <xf numFmtId="0" fontId="2" fillId="9" borderId="2" xfId="0" applyFont="1" applyFill="1" applyBorder="1" applyAlignment="1" applyProtection="1">
      <alignment vertical="center"/>
      <protection hidden="1"/>
    </xf>
    <xf numFmtId="0" fontId="15" fillId="9" borderId="2" xfId="0" applyFont="1" applyFill="1" applyBorder="1" applyAlignment="1" applyProtection="1">
      <alignment horizontal="center" vertical="center"/>
      <protection hidden="1"/>
    </xf>
    <xf numFmtId="0" fontId="14" fillId="9" borderId="2" xfId="4" applyFont="1" applyFill="1" applyBorder="1" applyAlignment="1" applyProtection="1">
      <alignment horizontal="center" vertical="center"/>
      <protection hidden="1"/>
    </xf>
    <xf numFmtId="0" fontId="20" fillId="9" borderId="3" xfId="0" applyFont="1" applyFill="1" applyBorder="1" applyAlignment="1" applyProtection="1">
      <alignment vertical="center"/>
      <protection hidden="1"/>
    </xf>
    <xf numFmtId="0" fontId="15" fillId="9" borderId="3" xfId="0" applyFont="1" applyFill="1" applyBorder="1" applyAlignment="1" applyProtection="1">
      <alignment horizontal="center" vertical="center"/>
      <protection hidden="1"/>
    </xf>
    <xf numFmtId="3" fontId="19" fillId="4" borderId="3" xfId="0" applyNumberFormat="1" applyFont="1" applyFill="1" applyBorder="1" applyAlignment="1" applyProtection="1">
      <alignment horizontal="center" vertical="center"/>
      <protection hidden="1"/>
    </xf>
    <xf numFmtId="0" fontId="16" fillId="0" borderId="0" xfId="4" applyFont="1" applyAlignment="1" applyProtection="1">
      <alignment horizontal="center" vertical="center"/>
      <protection hidden="1"/>
    </xf>
    <xf numFmtId="2" fontId="3" fillId="0" borderId="0" xfId="4" applyNumberFormat="1" applyFont="1" applyAlignment="1" applyProtection="1">
      <alignment horizontal="center" vertical="center"/>
      <protection hidden="1"/>
    </xf>
    <xf numFmtId="0" fontId="14" fillId="13" borderId="14" xfId="4" applyFont="1" applyFill="1" applyBorder="1" applyAlignment="1" applyProtection="1">
      <alignment horizontal="left" vertical="center"/>
      <protection hidden="1"/>
    </xf>
    <xf numFmtId="0" fontId="16" fillId="13" borderId="15" xfId="4" applyFont="1" applyFill="1" applyBorder="1" applyAlignment="1" applyProtection="1">
      <alignment horizontal="center" vertical="center"/>
      <protection hidden="1"/>
    </xf>
    <xf numFmtId="2" fontId="3" fillId="13" borderId="15" xfId="4" applyNumberFormat="1" applyFont="1" applyFill="1" applyBorder="1" applyAlignment="1" applyProtection="1">
      <alignment horizontal="center" vertical="center"/>
      <protection hidden="1"/>
    </xf>
    <xf numFmtId="0" fontId="3" fillId="13" borderId="15" xfId="4" applyFont="1" applyFill="1" applyBorder="1" applyAlignment="1" applyProtection="1">
      <alignment vertical="center"/>
      <protection hidden="1"/>
    </xf>
    <xf numFmtId="0" fontId="3" fillId="13" borderId="16" xfId="4" applyFont="1" applyFill="1" applyBorder="1" applyAlignment="1" applyProtection="1">
      <alignment vertical="center"/>
      <protection hidden="1"/>
    </xf>
    <xf numFmtId="0" fontId="14" fillId="13" borderId="17" xfId="4" applyFont="1" applyFill="1" applyBorder="1" applyAlignment="1" applyProtection="1">
      <alignment horizontal="left" vertical="center"/>
      <protection hidden="1"/>
    </xf>
    <xf numFmtId="0" fontId="16" fillId="13" borderId="9" xfId="4" applyFont="1" applyFill="1" applyBorder="1" applyAlignment="1" applyProtection="1">
      <alignment horizontal="center" vertical="center"/>
      <protection hidden="1"/>
    </xf>
    <xf numFmtId="2" fontId="3" fillId="13" borderId="9" xfId="4" applyNumberFormat="1" applyFont="1" applyFill="1" applyBorder="1" applyAlignment="1" applyProtection="1">
      <alignment horizontal="center" vertical="center"/>
      <protection hidden="1"/>
    </xf>
    <xf numFmtId="0" fontId="3" fillId="13" borderId="9" xfId="4" applyFont="1" applyFill="1" applyBorder="1" applyAlignment="1" applyProtection="1">
      <alignment vertical="center"/>
      <protection hidden="1"/>
    </xf>
    <xf numFmtId="0" fontId="3" fillId="13" borderId="18" xfId="4" applyFont="1" applyFill="1" applyBorder="1" applyAlignment="1" applyProtection="1">
      <alignment vertical="center"/>
      <protection hidden="1"/>
    </xf>
    <xf numFmtId="1" fontId="3" fillId="10" borderId="1" xfId="4" applyNumberFormat="1" applyFont="1" applyFill="1" applyBorder="1" applyAlignment="1" applyProtection="1">
      <alignment horizontal="center" vertical="center"/>
      <protection hidden="1"/>
    </xf>
    <xf numFmtId="2" fontId="3" fillId="2" borderId="2" xfId="4" applyNumberFormat="1" applyFont="1" applyFill="1" applyBorder="1" applyAlignment="1" applyProtection="1">
      <alignment horizontal="center" vertical="center"/>
      <protection locked="0" hidden="1"/>
    </xf>
    <xf numFmtId="2" fontId="3" fillId="10" borderId="2" xfId="4" applyNumberFormat="1" applyFont="1" applyFill="1" applyBorder="1" applyAlignment="1" applyProtection="1">
      <alignment horizontal="center" vertical="center"/>
      <protection hidden="1"/>
    </xf>
    <xf numFmtId="3" fontId="3" fillId="3" borderId="3" xfId="4" applyNumberFormat="1" applyFont="1" applyFill="1" applyBorder="1" applyAlignment="1" applyProtection="1">
      <alignment horizontal="center" vertical="center"/>
      <protection hidden="1"/>
    </xf>
    <xf numFmtId="3" fontId="3" fillId="0" borderId="3" xfId="4" applyNumberFormat="1" applyFont="1" applyFill="1" applyBorder="1" applyAlignment="1" applyProtection="1">
      <alignment horizontal="center" vertical="center"/>
      <protection hidden="1"/>
    </xf>
    <xf numFmtId="3" fontId="3" fillId="0" borderId="0" xfId="4" applyNumberFormat="1" applyFont="1" applyFill="1" applyBorder="1" applyAlignment="1" applyProtection="1">
      <alignment horizontal="center" vertical="center"/>
      <protection hidden="1"/>
    </xf>
    <xf numFmtId="0" fontId="14" fillId="13" borderId="11" xfId="4" applyFont="1" applyFill="1" applyBorder="1" applyAlignment="1" applyProtection="1">
      <alignment vertical="center"/>
      <protection hidden="1"/>
    </xf>
    <xf numFmtId="0" fontId="3" fillId="13" borderId="12" xfId="4" applyFont="1" applyFill="1" applyBorder="1" applyAlignment="1" applyProtection="1">
      <alignment vertical="center"/>
      <protection hidden="1"/>
    </xf>
    <xf numFmtId="0" fontId="3" fillId="13" borderId="13" xfId="4" applyFont="1" applyFill="1" applyBorder="1" applyAlignment="1" applyProtection="1">
      <alignment vertical="center"/>
      <protection hidden="1"/>
    </xf>
    <xf numFmtId="3" fontId="3" fillId="10" borderId="1" xfId="4" applyNumberFormat="1" applyFont="1" applyFill="1" applyBorder="1" applyAlignment="1" applyProtection="1">
      <alignment horizontal="center" vertical="center"/>
      <protection hidden="1"/>
    </xf>
    <xf numFmtId="0" fontId="3" fillId="6" borderId="2" xfId="4" applyFont="1" applyFill="1" applyBorder="1" applyAlignment="1" applyProtection="1">
      <alignment horizontal="center" vertical="center"/>
      <protection locked="0" hidden="1"/>
    </xf>
    <xf numFmtId="0" fontId="11"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19" fillId="9" borderId="1" xfId="0" applyFont="1" applyFill="1" applyBorder="1" applyAlignment="1" applyProtection="1">
      <alignment horizontal="left" vertical="center"/>
      <protection hidden="1"/>
    </xf>
    <xf numFmtId="0" fontId="15" fillId="9" borderId="1" xfId="0" applyFont="1" applyFill="1" applyBorder="1" applyAlignment="1" applyProtection="1">
      <alignment horizontal="center" vertical="center"/>
      <protection hidden="1"/>
    </xf>
    <xf numFmtId="0" fontId="20" fillId="9" borderId="1" xfId="0" applyFont="1" applyFill="1" applyBorder="1" applyAlignment="1" applyProtection="1">
      <alignment horizontal="center" vertical="center"/>
      <protection hidden="1"/>
    </xf>
    <xf numFmtId="0" fontId="20" fillId="0" borderId="0" xfId="0" applyFont="1" applyAlignment="1" applyProtection="1">
      <alignment vertical="center"/>
      <protection hidden="1"/>
    </xf>
    <xf numFmtId="0" fontId="2" fillId="9" borderId="2" xfId="0" applyFont="1" applyFill="1" applyBorder="1" applyAlignment="1" applyProtection="1">
      <alignment horizontal="left" vertical="center"/>
      <protection hidden="1"/>
    </xf>
    <xf numFmtId="0" fontId="12" fillId="9" borderId="2" xfId="0"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0" fontId="20" fillId="9" borderId="2" xfId="0" applyFont="1" applyFill="1" applyBorder="1" applyAlignment="1" applyProtection="1">
      <alignment horizontal="left" vertical="center"/>
      <protection hidden="1"/>
    </xf>
    <xf numFmtId="3" fontId="19" fillId="9" borderId="2" xfId="0" applyNumberFormat="1" applyFont="1" applyFill="1" applyBorder="1" applyAlignment="1" applyProtection="1">
      <alignment horizontal="center" vertical="center"/>
      <protection hidden="1"/>
    </xf>
    <xf numFmtId="0" fontId="20" fillId="9" borderId="3" xfId="0" applyFont="1" applyFill="1" applyBorder="1" applyAlignment="1" applyProtection="1">
      <alignment horizontal="left" vertical="center"/>
      <protection hidden="1"/>
    </xf>
    <xf numFmtId="3" fontId="19" fillId="9" borderId="3" xfId="0" applyNumberFormat="1" applyFont="1" applyFill="1" applyBorder="1" applyAlignment="1" applyProtection="1">
      <alignment horizontal="center" vertical="center"/>
      <protection hidden="1"/>
    </xf>
    <xf numFmtId="0" fontId="13" fillId="4" borderId="11" xfId="0" applyFont="1" applyFill="1" applyBorder="1" applyAlignment="1" applyProtection="1">
      <alignment vertical="center"/>
      <protection hidden="1"/>
    </xf>
    <xf numFmtId="0" fontId="2" fillId="4" borderId="12" xfId="0" applyFont="1" applyFill="1" applyBorder="1" applyAlignment="1" applyProtection="1">
      <alignment vertical="center"/>
      <protection hidden="1"/>
    </xf>
    <xf numFmtId="0" fontId="2" fillId="4" borderId="13" xfId="0" applyFont="1" applyFill="1" applyBorder="1" applyAlignment="1" applyProtection="1">
      <alignment vertical="center"/>
      <protection hidden="1"/>
    </xf>
    <xf numFmtId="0" fontId="19" fillId="0" borderId="1" xfId="0" applyFont="1" applyFill="1" applyBorder="1" applyAlignment="1" applyProtection="1">
      <alignment vertical="center" wrapText="1"/>
      <protection hidden="1"/>
    </xf>
    <xf numFmtId="0" fontId="3" fillId="3" borderId="1" xfId="2" applyFont="1" applyFill="1" applyBorder="1" applyAlignment="1" applyProtection="1">
      <alignment horizontal="center" vertical="center"/>
      <protection hidden="1"/>
    </xf>
    <xf numFmtId="0" fontId="3" fillId="0" borderId="1" xfId="2" applyFont="1" applyFill="1" applyBorder="1" applyAlignment="1" applyProtection="1">
      <alignment horizontal="center" vertical="center"/>
      <protection hidden="1"/>
    </xf>
    <xf numFmtId="0" fontId="19" fillId="0" borderId="2" xfId="0" applyFont="1" applyFill="1" applyBorder="1" applyAlignment="1" applyProtection="1">
      <alignment vertical="center" wrapText="1"/>
      <protection hidden="1"/>
    </xf>
    <xf numFmtId="3" fontId="3" fillId="11" borderId="2" xfId="2" applyNumberFormat="1" applyFont="1" applyFill="1" applyBorder="1" applyAlignment="1" applyProtection="1">
      <alignment horizontal="center" vertical="center"/>
      <protection locked="0" hidden="1"/>
    </xf>
    <xf numFmtId="3" fontId="3" fillId="0" borderId="2" xfId="2" applyNumberFormat="1" applyFont="1" applyFill="1" applyBorder="1" applyAlignment="1" applyProtection="1">
      <alignment horizontal="center" vertical="center"/>
      <protection hidden="1"/>
    </xf>
    <xf numFmtId="164" fontId="20" fillId="11" borderId="2" xfId="0" applyNumberFormat="1" applyFont="1" applyFill="1" applyBorder="1" applyAlignment="1" applyProtection="1">
      <alignment horizontal="center" vertical="center"/>
      <protection locked="0" hidden="1"/>
    </xf>
    <xf numFmtId="164" fontId="20" fillId="0" borderId="2" xfId="0" applyNumberFormat="1" applyFont="1" applyFill="1" applyBorder="1" applyAlignment="1" applyProtection="1">
      <alignment horizontal="center" vertical="center"/>
      <protection hidden="1"/>
    </xf>
    <xf numFmtId="0" fontId="20" fillId="6" borderId="2" xfId="0" applyFont="1" applyFill="1" applyBorder="1" applyAlignment="1" applyProtection="1">
      <alignment horizontal="center" vertical="center"/>
      <protection locked="0" hidden="1"/>
    </xf>
    <xf numFmtId="0" fontId="20"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vertical="center" wrapText="1"/>
      <protection hidden="1"/>
    </xf>
    <xf numFmtId="164" fontId="3" fillId="11" borderId="2" xfId="0" applyNumberFormat="1" applyFont="1" applyFill="1" applyBorder="1" applyAlignment="1" applyProtection="1">
      <alignment horizontal="center" vertical="center"/>
      <protection locked="0" hidden="1"/>
    </xf>
    <xf numFmtId="164" fontId="3" fillId="0" borderId="2" xfId="0" applyNumberFormat="1" applyFont="1" applyFill="1" applyBorder="1" applyAlignment="1" applyProtection="1">
      <alignment horizontal="center" vertical="center"/>
      <protection hidden="1"/>
    </xf>
    <xf numFmtId="164" fontId="20" fillId="6" borderId="2" xfId="0" applyNumberFormat="1" applyFont="1" applyFill="1" applyBorder="1" applyAlignment="1" applyProtection="1">
      <alignment horizontal="center" vertical="center"/>
      <protection locked="0" hidden="1"/>
    </xf>
    <xf numFmtId="0" fontId="19" fillId="0" borderId="3" xfId="0" applyFont="1" applyFill="1" applyBorder="1" applyAlignment="1" applyProtection="1">
      <alignment vertical="center" wrapText="1"/>
      <protection hidden="1"/>
    </xf>
    <xf numFmtId="0" fontId="20" fillId="6" borderId="3" xfId="0" applyFont="1" applyFill="1" applyBorder="1" applyAlignment="1" applyProtection="1">
      <alignment horizontal="center" vertical="center"/>
      <protection locked="0" hidden="1"/>
    </xf>
    <xf numFmtId="0" fontId="20" fillId="0" borderId="3" xfId="0" applyFont="1" applyFill="1" applyBorder="1" applyAlignment="1" applyProtection="1">
      <alignment horizontal="center" vertical="center"/>
      <protection hidden="1"/>
    </xf>
    <xf numFmtId="166" fontId="20" fillId="3" borderId="1" xfId="0" applyNumberFormat="1" applyFont="1" applyFill="1" applyBorder="1" applyAlignment="1" applyProtection="1">
      <alignment horizontal="center" vertical="center"/>
      <protection hidden="1"/>
    </xf>
    <xf numFmtId="166" fontId="20" fillId="0" borderId="1" xfId="0" applyNumberFormat="1" applyFont="1" applyFill="1" applyBorder="1" applyAlignment="1" applyProtection="1">
      <alignment horizontal="center" vertical="center"/>
      <protection hidden="1"/>
    </xf>
    <xf numFmtId="167" fontId="20" fillId="3" borderId="2" xfId="0" applyNumberFormat="1" applyFont="1" applyFill="1" applyBorder="1" applyAlignment="1" applyProtection="1">
      <alignment horizontal="center" vertical="center"/>
      <protection hidden="1"/>
    </xf>
    <xf numFmtId="167" fontId="20" fillId="0" borderId="2" xfId="0" applyNumberFormat="1" applyFont="1" applyFill="1" applyBorder="1" applyAlignment="1" applyProtection="1">
      <alignment horizontal="center" vertical="center"/>
      <protection hidden="1"/>
    </xf>
    <xf numFmtId="166" fontId="3" fillId="3" borderId="2" xfId="0" applyNumberFormat="1" applyFont="1" applyFill="1" applyBorder="1" applyAlignment="1" applyProtection="1">
      <alignment horizontal="center" vertical="center"/>
      <protection hidden="1"/>
    </xf>
    <xf numFmtId="166" fontId="3" fillId="0" borderId="2" xfId="0" applyNumberFormat="1" applyFont="1" applyFill="1" applyBorder="1" applyAlignment="1" applyProtection="1">
      <alignment horizontal="center" vertical="center"/>
      <protection hidden="1"/>
    </xf>
    <xf numFmtId="166" fontId="3" fillId="3" borderId="3" xfId="0" applyNumberFormat="1" applyFont="1" applyFill="1" applyBorder="1" applyAlignment="1" applyProtection="1">
      <alignment horizontal="center" vertical="center"/>
      <protection hidden="1"/>
    </xf>
    <xf numFmtId="166" fontId="3" fillId="0" borderId="3" xfId="0" applyNumberFormat="1" applyFont="1" applyFill="1" applyBorder="1" applyAlignment="1" applyProtection="1">
      <alignment horizontal="center" vertical="center"/>
      <protection hidden="1"/>
    </xf>
    <xf numFmtId="0" fontId="20" fillId="10" borderId="1" xfId="0" applyFont="1" applyFill="1" applyBorder="1" applyAlignment="1" applyProtection="1">
      <alignment horizontal="center" vertical="center"/>
      <protection hidden="1"/>
    </xf>
    <xf numFmtId="0" fontId="20" fillId="0" borderId="1" xfId="0" applyFont="1" applyFill="1" applyBorder="1" applyAlignment="1" applyProtection="1">
      <alignment horizontal="center" vertical="center"/>
      <protection hidden="1"/>
    </xf>
    <xf numFmtId="0" fontId="20" fillId="0" borderId="0" xfId="0" applyFont="1" applyFill="1" applyBorder="1" applyAlignment="1" applyProtection="1">
      <alignment vertical="center"/>
      <protection hidden="1"/>
    </xf>
    <xf numFmtId="0" fontId="20" fillId="11" borderId="2" xfId="0" applyFont="1" applyFill="1" applyBorder="1" applyAlignment="1" applyProtection="1">
      <alignment horizontal="center" vertical="center"/>
      <protection locked="0" hidden="1"/>
    </xf>
    <xf numFmtId="0" fontId="20" fillId="0" borderId="2" xfId="0" applyFont="1" applyFill="1" applyBorder="1" applyAlignment="1" applyProtection="1">
      <alignment vertical="center"/>
      <protection hidden="1"/>
    </xf>
    <xf numFmtId="3" fontId="19" fillId="10" borderId="2" xfId="0" applyNumberFormat="1" applyFont="1" applyFill="1" applyBorder="1" applyAlignment="1" applyProtection="1">
      <alignment horizontal="center" vertical="center"/>
      <protection hidden="1"/>
    </xf>
    <xf numFmtId="3" fontId="19" fillId="0" borderId="2" xfId="0" applyNumberFormat="1" applyFont="1" applyFill="1" applyBorder="1" applyAlignment="1" applyProtection="1">
      <alignment horizontal="center" vertical="center"/>
      <protection hidden="1"/>
    </xf>
    <xf numFmtId="0" fontId="20" fillId="0" borderId="0" xfId="0" applyFont="1" applyFill="1" applyAlignment="1" applyProtection="1">
      <alignment vertical="center"/>
      <protection hidden="1"/>
    </xf>
    <xf numFmtId="3" fontId="20" fillId="3" borderId="2" xfId="0" applyNumberFormat="1" applyFont="1" applyFill="1" applyBorder="1" applyAlignment="1" applyProtection="1">
      <alignment horizontal="center" vertical="center"/>
      <protection hidden="1"/>
    </xf>
    <xf numFmtId="3" fontId="20" fillId="0" borderId="2" xfId="0" applyNumberFormat="1" applyFont="1" applyFill="1" applyBorder="1" applyAlignment="1" applyProtection="1">
      <alignment horizontal="center" vertical="center"/>
      <protection hidden="1"/>
    </xf>
    <xf numFmtId="0" fontId="20" fillId="2" borderId="2" xfId="0" applyFont="1" applyFill="1" applyBorder="1" applyAlignment="1" applyProtection="1">
      <alignment horizontal="center" vertical="center"/>
      <protection locked="0" hidden="1"/>
    </xf>
    <xf numFmtId="164" fontId="3" fillId="10" borderId="2" xfId="0" applyNumberFormat="1" applyFont="1" applyFill="1" applyBorder="1" applyAlignment="1" applyProtection="1">
      <alignment horizontal="center" vertical="center"/>
      <protection hidden="1"/>
    </xf>
    <xf numFmtId="0" fontId="20" fillId="3" borderId="2" xfId="0" applyFont="1" applyFill="1" applyBorder="1" applyAlignment="1" applyProtection="1">
      <alignment horizontal="center" vertical="center"/>
      <protection hidden="1"/>
    </xf>
    <xf numFmtId="164" fontId="20" fillId="3" borderId="3" xfId="0" applyNumberFormat="1" applyFont="1" applyFill="1" applyBorder="1" applyAlignment="1" applyProtection="1">
      <alignment horizontal="center" vertical="center"/>
      <protection hidden="1"/>
    </xf>
    <xf numFmtId="164" fontId="20" fillId="0" borderId="3" xfId="0" applyNumberFormat="1" applyFont="1" applyFill="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166" fontId="20" fillId="0" borderId="0" xfId="0" applyNumberFormat="1" applyFont="1" applyBorder="1" applyAlignment="1" applyProtection="1">
      <alignment horizontal="center" vertical="center"/>
      <protection hidden="1"/>
    </xf>
    <xf numFmtId="166" fontId="3" fillId="0" borderId="0" xfId="0" applyNumberFormat="1" applyFont="1" applyBorder="1" applyAlignment="1" applyProtection="1">
      <alignment horizontal="center" vertical="center"/>
      <protection hidden="1"/>
    </xf>
    <xf numFmtId="0" fontId="19" fillId="0" borderId="2" xfId="0" applyFont="1" applyFill="1" applyBorder="1" applyAlignment="1" applyProtection="1">
      <alignment horizontal="left" vertical="center" wrapText="1"/>
      <protection hidden="1"/>
    </xf>
    <xf numFmtId="1" fontId="20" fillId="5" borderId="2" xfId="0" applyNumberFormat="1" applyFont="1" applyFill="1" applyBorder="1" applyAlignment="1" applyProtection="1">
      <alignment horizontal="center" vertical="center"/>
      <protection locked="0" hidden="1"/>
    </xf>
    <xf numFmtId="1" fontId="20" fillId="0" borderId="2" xfId="0" applyNumberFormat="1" applyFont="1" applyFill="1" applyBorder="1" applyAlignment="1" applyProtection="1">
      <alignment horizontal="center" vertical="center"/>
      <protection hidden="1"/>
    </xf>
    <xf numFmtId="1" fontId="20" fillId="2" borderId="2" xfId="0" applyNumberFormat="1" applyFont="1" applyFill="1" applyBorder="1" applyAlignment="1" applyProtection="1">
      <alignment horizontal="center" vertical="center"/>
      <protection locked="0" hidden="1"/>
    </xf>
    <xf numFmtId="164" fontId="20" fillId="3" borderId="2" xfId="0" applyNumberFormat="1" applyFont="1" applyFill="1" applyBorder="1" applyAlignment="1" applyProtection="1">
      <alignment horizontal="center" vertical="center"/>
      <protection hidden="1"/>
    </xf>
    <xf numFmtId="0" fontId="19" fillId="0" borderId="3" xfId="0" applyFont="1" applyFill="1" applyBorder="1" applyAlignment="1" applyProtection="1">
      <alignment horizontal="left" vertical="center" wrapText="1"/>
      <protection hidden="1"/>
    </xf>
    <xf numFmtId="0" fontId="20" fillId="10" borderId="3"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1" fontId="20" fillId="0" borderId="0" xfId="0" applyNumberFormat="1" applyFont="1" applyFill="1" applyBorder="1" applyAlignment="1" applyProtection="1">
      <alignment horizontal="center" vertical="center"/>
      <protection hidden="1"/>
    </xf>
    <xf numFmtId="2" fontId="19" fillId="0" borderId="1" xfId="0" applyNumberFormat="1" applyFont="1" applyFill="1" applyBorder="1" applyAlignment="1" applyProtection="1">
      <alignment horizontal="left" vertical="center" wrapText="1"/>
      <protection hidden="1"/>
    </xf>
    <xf numFmtId="164" fontId="20" fillId="11" borderId="3" xfId="0" applyNumberFormat="1" applyFont="1" applyFill="1" applyBorder="1" applyAlignment="1" applyProtection="1">
      <alignment horizontal="center" vertical="center"/>
      <protection locked="0" hidden="1"/>
    </xf>
    <xf numFmtId="4" fontId="3" fillId="3" borderId="2" xfId="0" applyNumberFormat="1" applyFont="1" applyFill="1" applyBorder="1" applyAlignment="1" applyProtection="1">
      <alignment horizontal="center" vertical="center"/>
      <protection hidden="1"/>
    </xf>
    <xf numFmtId="4" fontId="3" fillId="0" borderId="2" xfId="0" applyNumberFormat="1" applyFont="1" applyFill="1" applyBorder="1" applyAlignment="1" applyProtection="1">
      <alignment horizontal="center" vertical="center"/>
      <protection hidden="1"/>
    </xf>
    <xf numFmtId="3" fontId="20" fillId="10" borderId="1" xfId="0" applyNumberFormat="1" applyFont="1" applyFill="1" applyBorder="1" applyAlignment="1" applyProtection="1">
      <alignment horizontal="center" vertical="center"/>
      <protection hidden="1"/>
    </xf>
    <xf numFmtId="3" fontId="20" fillId="0" borderId="1" xfId="0" applyNumberFormat="1" applyFont="1" applyFill="1" applyBorder="1" applyAlignment="1" applyProtection="1">
      <alignment horizontal="center" vertical="center"/>
      <protection hidden="1"/>
    </xf>
    <xf numFmtId="1" fontId="20" fillId="11" borderId="2" xfId="0" applyNumberFormat="1" applyFont="1" applyFill="1" applyBorder="1" applyAlignment="1" applyProtection="1">
      <alignment horizontal="center" vertical="center"/>
      <protection locked="0" hidden="1"/>
    </xf>
    <xf numFmtId="1" fontId="20" fillId="2" borderId="3" xfId="0" applyNumberFormat="1" applyFont="1" applyFill="1" applyBorder="1" applyAlignment="1" applyProtection="1">
      <alignment horizontal="center" vertical="center"/>
      <protection locked="0" hidden="1"/>
    </xf>
    <xf numFmtId="1" fontId="20" fillId="0" borderId="3" xfId="0" applyNumberFormat="1" applyFont="1" applyFill="1" applyBorder="1" applyAlignment="1" applyProtection="1">
      <alignment horizontal="center" vertical="center"/>
      <protection hidden="1"/>
    </xf>
    <xf numFmtId="164" fontId="20" fillId="3" borderId="1" xfId="0" applyNumberFormat="1" applyFont="1" applyFill="1" applyBorder="1" applyAlignment="1" applyProtection="1">
      <alignment horizontal="center" vertical="center"/>
      <protection hidden="1"/>
    </xf>
    <xf numFmtId="164" fontId="20" fillId="0" borderId="1" xfId="0" applyNumberFormat="1" applyFont="1" applyFill="1" applyBorder="1" applyAlignment="1" applyProtection="1">
      <alignment horizontal="center" vertical="center"/>
      <protection hidden="1"/>
    </xf>
    <xf numFmtId="164" fontId="19" fillId="0" borderId="1" xfId="0" applyNumberFormat="1" applyFont="1" applyFill="1" applyBorder="1" applyAlignment="1" applyProtection="1">
      <alignment vertical="center"/>
      <protection hidden="1"/>
    </xf>
    <xf numFmtId="169" fontId="20" fillId="10" borderId="1" xfId="6" applyNumberFormat="1" applyFont="1" applyFill="1" applyBorder="1" applyAlignment="1" applyProtection="1">
      <alignment horizontal="center" vertical="center"/>
      <protection hidden="1"/>
    </xf>
    <xf numFmtId="169" fontId="20" fillId="0" borderId="1" xfId="6" applyNumberFormat="1" applyFont="1" applyFill="1" applyBorder="1" applyAlignment="1" applyProtection="1">
      <alignment horizontal="center" vertical="center"/>
      <protection hidden="1"/>
    </xf>
    <xf numFmtId="168" fontId="20" fillId="0" borderId="0" xfId="0" applyNumberFormat="1" applyFont="1" applyAlignment="1" applyProtection="1">
      <alignment vertical="center"/>
      <protection hidden="1"/>
    </xf>
    <xf numFmtId="164" fontId="19" fillId="0" borderId="2" xfId="0" applyNumberFormat="1" applyFont="1" applyFill="1" applyBorder="1" applyAlignment="1" applyProtection="1">
      <alignment vertical="center"/>
      <protection hidden="1"/>
    </xf>
    <xf numFmtId="169" fontId="20" fillId="10" borderId="2" xfId="6" applyNumberFormat="1" applyFont="1" applyFill="1" applyBorder="1" applyAlignment="1" applyProtection="1">
      <alignment horizontal="center" vertical="center"/>
      <protection hidden="1"/>
    </xf>
    <xf numFmtId="169" fontId="20" fillId="0" borderId="2" xfId="6" applyNumberFormat="1" applyFont="1" applyFill="1" applyBorder="1" applyAlignment="1" applyProtection="1">
      <alignment horizontal="center" vertical="center"/>
      <protection hidden="1"/>
    </xf>
    <xf numFmtId="164" fontId="19" fillId="0" borderId="2" xfId="0" applyNumberFormat="1" applyFont="1" applyFill="1" applyBorder="1" applyAlignment="1" applyProtection="1">
      <alignment horizontal="left" vertical="center"/>
      <protection hidden="1"/>
    </xf>
    <xf numFmtId="164" fontId="19" fillId="0" borderId="3" xfId="0" applyNumberFormat="1" applyFont="1" applyFill="1" applyBorder="1" applyAlignment="1" applyProtection="1">
      <alignment vertical="center"/>
      <protection hidden="1"/>
    </xf>
    <xf numFmtId="169" fontId="20" fillId="10" borderId="3" xfId="6" applyNumberFormat="1" applyFont="1" applyFill="1" applyBorder="1" applyAlignment="1" applyProtection="1">
      <alignment horizontal="center" vertical="center"/>
      <protection hidden="1"/>
    </xf>
    <xf numFmtId="169" fontId="20" fillId="0" borderId="3" xfId="6" applyNumberFormat="1" applyFont="1" applyFill="1" applyBorder="1" applyAlignment="1" applyProtection="1">
      <alignment horizontal="center" vertical="center"/>
      <protection hidden="1"/>
    </xf>
    <xf numFmtId="0" fontId="12" fillId="0" borderId="1" xfId="0" applyFont="1" applyFill="1" applyBorder="1" applyAlignment="1" applyProtection="1">
      <alignment vertical="center" wrapText="1"/>
      <protection hidden="1"/>
    </xf>
    <xf numFmtId="166" fontId="2" fillId="3" borderId="1" xfId="0" applyNumberFormat="1" applyFont="1" applyFill="1" applyBorder="1" applyAlignment="1" applyProtection="1">
      <alignment horizontal="center" vertical="center"/>
      <protection hidden="1"/>
    </xf>
    <xf numFmtId="166" fontId="2" fillId="0" borderId="1" xfId="0" applyNumberFormat="1" applyFont="1" applyFill="1" applyBorder="1" applyAlignment="1" applyProtection="1">
      <alignment horizontal="center" vertical="center"/>
      <protection hidden="1"/>
    </xf>
    <xf numFmtId="168" fontId="2" fillId="0" borderId="0" xfId="0" applyNumberFormat="1" applyFont="1" applyAlignment="1" applyProtection="1">
      <alignment vertical="center"/>
      <protection hidden="1"/>
    </xf>
    <xf numFmtId="0" fontId="12" fillId="0" borderId="2" xfId="0" applyFont="1" applyFill="1" applyBorder="1" applyAlignment="1" applyProtection="1">
      <alignment vertical="center" wrapText="1"/>
      <protection hidden="1"/>
    </xf>
    <xf numFmtId="4" fontId="14" fillId="3" borderId="2" xfId="0" applyNumberFormat="1" applyFont="1" applyFill="1" applyBorder="1" applyAlignment="1" applyProtection="1">
      <alignment horizontal="center" vertical="center"/>
      <protection hidden="1"/>
    </xf>
    <xf numFmtId="4" fontId="14" fillId="0" borderId="2" xfId="0" applyNumberFormat="1" applyFont="1" applyFill="1" applyBorder="1" applyAlignment="1" applyProtection="1">
      <alignment horizontal="center" vertical="center"/>
      <protection hidden="1"/>
    </xf>
    <xf numFmtId="166" fontId="14" fillId="3" borderId="2" xfId="0" applyNumberFormat="1" applyFont="1" applyFill="1" applyBorder="1" applyAlignment="1" applyProtection="1">
      <alignment horizontal="center" vertical="center"/>
      <protection hidden="1"/>
    </xf>
    <xf numFmtId="166" fontId="14" fillId="0" borderId="2" xfId="0" applyNumberFormat="1" applyFont="1" applyFill="1" applyBorder="1" applyAlignment="1" applyProtection="1">
      <alignment horizontal="center" vertical="center"/>
      <protection hidden="1"/>
    </xf>
    <xf numFmtId="0" fontId="12" fillId="0" borderId="3" xfId="0" applyFont="1" applyFill="1" applyBorder="1" applyAlignment="1" applyProtection="1">
      <alignment vertical="center" wrapText="1"/>
      <protection hidden="1"/>
    </xf>
    <xf numFmtId="164" fontId="2" fillId="3" borderId="3" xfId="0" applyNumberFormat="1" applyFont="1" applyFill="1" applyBorder="1" applyAlignment="1" applyProtection="1">
      <alignment horizontal="center" vertical="center"/>
      <protection hidden="1"/>
    </xf>
    <xf numFmtId="164" fontId="2" fillId="0" borderId="3" xfId="0" applyNumberFormat="1" applyFont="1" applyFill="1" applyBorder="1" applyAlignment="1" applyProtection="1">
      <alignment horizontal="center" vertical="center"/>
      <protection hidden="1"/>
    </xf>
    <xf numFmtId="0" fontId="19" fillId="0" borderId="10" xfId="0" applyFont="1" applyFill="1" applyBorder="1" applyAlignment="1" applyProtection="1">
      <alignment vertical="center" wrapText="1"/>
      <protection hidden="1"/>
    </xf>
    <xf numFmtId="169" fontId="20" fillId="3" borderId="10" xfId="6" applyNumberFormat="1" applyFont="1" applyFill="1" applyBorder="1" applyAlignment="1" applyProtection="1">
      <alignment horizontal="center" vertical="center"/>
      <protection hidden="1"/>
    </xf>
    <xf numFmtId="169" fontId="20" fillId="0" borderId="10" xfId="6" applyNumberFormat="1"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8" fillId="0" borderId="0" xfId="0" applyFont="1" applyFill="1" applyBorder="1" applyAlignment="1" applyProtection="1">
      <alignment vertical="center"/>
      <protection hidden="1"/>
    </xf>
    <xf numFmtId="0" fontId="22" fillId="0" borderId="0" xfId="0" applyFont="1" applyFill="1" applyBorder="1" applyAlignment="1" applyProtection="1">
      <alignment horizontal="center" vertical="center"/>
      <protection hidden="1"/>
    </xf>
    <xf numFmtId="1" fontId="22" fillId="0" borderId="0" xfId="0" applyNumberFormat="1" applyFont="1" applyFill="1" applyBorder="1" applyAlignment="1" applyProtection="1">
      <alignment horizontal="center" vertical="center"/>
      <protection hidden="1"/>
    </xf>
    <xf numFmtId="2" fontId="28" fillId="0" borderId="0" xfId="0" applyNumberFormat="1" applyFont="1" applyFill="1" applyBorder="1" applyAlignment="1" applyProtection="1">
      <alignment horizontal="center" vertical="center"/>
      <protection hidden="1"/>
    </xf>
    <xf numFmtId="164" fontId="22" fillId="0" borderId="0" xfId="0" applyNumberFormat="1" applyFont="1" applyFill="1" applyBorder="1" applyAlignment="1" applyProtection="1">
      <alignment horizontal="center" vertical="center"/>
      <protection hidden="1"/>
    </xf>
    <xf numFmtId="164" fontId="28" fillId="0" borderId="0" xfId="0" applyNumberFormat="1" applyFont="1" applyFill="1" applyBorder="1" applyAlignment="1" applyProtection="1">
      <alignment horizontal="center" vertical="center"/>
      <protection hidden="1"/>
    </xf>
    <xf numFmtId="164" fontId="22" fillId="0" borderId="0" xfId="0" applyNumberFormat="1" applyFont="1" applyFill="1" applyBorder="1" applyAlignment="1" applyProtection="1">
      <alignment horizontal="center" vertical="center" wrapText="1"/>
      <protection hidden="1"/>
    </xf>
    <xf numFmtId="164" fontId="28" fillId="0" borderId="0" xfId="0" applyNumberFormat="1"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27" fillId="0" borderId="0" xfId="0" applyFont="1" applyFill="1" applyBorder="1" applyAlignment="1" applyProtection="1">
      <alignment vertical="center" wrapText="1"/>
      <protection hidden="1"/>
    </xf>
    <xf numFmtId="164" fontId="22" fillId="0" borderId="0" xfId="0" applyNumberFormat="1" applyFont="1" applyFill="1" applyBorder="1" applyAlignment="1" applyProtection="1">
      <alignment vertical="center"/>
      <protection hidden="1"/>
    </xf>
    <xf numFmtId="0" fontId="1" fillId="8" borderId="0" xfId="0" applyFont="1" applyFill="1" applyAlignment="1">
      <alignment horizontal="left" indent="1"/>
    </xf>
    <xf numFmtId="0" fontId="1" fillId="11" borderId="0" xfId="0" applyFont="1" applyFill="1" applyAlignment="1">
      <alignment horizontal="left" indent="1"/>
    </xf>
    <xf numFmtId="0" fontId="1" fillId="10" borderId="0" xfId="0" applyFont="1" applyFill="1" applyAlignment="1">
      <alignment horizontal="left" indent="1"/>
    </xf>
    <xf numFmtId="0" fontId="8" fillId="0" borderId="0" xfId="4" applyFont="1" applyFill="1" applyBorder="1" applyAlignment="1" applyProtection="1">
      <alignment horizontal="center" vertical="center"/>
      <protection hidden="1"/>
    </xf>
    <xf numFmtId="0" fontId="8" fillId="13" borderId="12" xfId="4" applyFont="1" applyFill="1" applyBorder="1" applyAlignment="1" applyProtection="1">
      <alignment horizontal="center" vertical="center"/>
      <protection hidden="1"/>
    </xf>
    <xf numFmtId="0" fontId="30" fillId="9" borderId="2" xfId="0" applyFont="1" applyFill="1" applyBorder="1" applyAlignment="1" applyProtection="1">
      <alignment horizontal="center" vertical="center"/>
      <protection hidden="1"/>
    </xf>
    <xf numFmtId="0" fontId="30" fillId="9" borderId="3" xfId="0" applyFont="1" applyFill="1" applyBorder="1" applyAlignment="1" applyProtection="1">
      <alignment horizontal="center" vertical="center"/>
      <protection hidden="1"/>
    </xf>
    <xf numFmtId="3" fontId="30" fillId="0" borderId="0" xfId="0" applyNumberFormat="1" applyFont="1" applyAlignment="1" applyProtection="1">
      <alignment horizontal="center" vertical="center"/>
      <protection hidden="1"/>
    </xf>
    <xf numFmtId="3" fontId="30" fillId="4" borderId="12" xfId="0" applyNumberFormat="1" applyFont="1" applyFill="1" applyBorder="1" applyAlignment="1" applyProtection="1">
      <alignment horizontal="center" vertical="center"/>
      <protection hidden="1"/>
    </xf>
    <xf numFmtId="0" fontId="31" fillId="0" borderId="1" xfId="0" applyFont="1" applyFill="1" applyBorder="1" applyAlignment="1" applyProtection="1">
      <alignment horizontal="center" vertical="center"/>
      <protection hidden="1"/>
    </xf>
    <xf numFmtId="0" fontId="31" fillId="0" borderId="2"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hidden="1"/>
    </xf>
    <xf numFmtId="0" fontId="31" fillId="0" borderId="3" xfId="0" applyFont="1" applyFill="1" applyBorder="1" applyAlignment="1" applyProtection="1">
      <alignment horizontal="center" vertical="center"/>
      <protection hidden="1"/>
    </xf>
    <xf numFmtId="0" fontId="31" fillId="0" borderId="1" xfId="0" applyFont="1" applyFill="1" applyBorder="1" applyAlignment="1" applyProtection="1">
      <alignment horizontal="center" vertical="center" wrapText="1"/>
      <protection hidden="1"/>
    </xf>
    <xf numFmtId="0" fontId="31" fillId="0" borderId="2" xfId="0"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hidden="1"/>
    </xf>
    <xf numFmtId="0" fontId="8" fillId="0" borderId="3" xfId="0" applyFont="1" applyFill="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30" fillId="0" borderId="2"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3" fontId="31" fillId="0" borderId="1" xfId="0" applyNumberFormat="1" applyFont="1" applyFill="1" applyBorder="1" applyAlignment="1" applyProtection="1">
      <alignment horizontal="center" vertical="center" wrapText="1"/>
      <protection hidden="1"/>
    </xf>
    <xf numFmtId="0" fontId="30" fillId="0" borderId="3" xfId="0" applyFont="1" applyFill="1" applyBorder="1" applyAlignment="1" applyProtection="1">
      <alignment horizontal="center" vertical="center"/>
      <protection hidden="1"/>
    </xf>
    <xf numFmtId="164" fontId="30" fillId="0" borderId="1" xfId="0" applyNumberFormat="1" applyFont="1" applyFill="1" applyBorder="1" applyAlignment="1" applyProtection="1">
      <alignment horizontal="center" vertical="center"/>
      <protection hidden="1"/>
    </xf>
    <xf numFmtId="164" fontId="30" fillId="0" borderId="2" xfId="0" applyNumberFormat="1" applyFont="1" applyFill="1" applyBorder="1" applyAlignment="1" applyProtection="1">
      <alignment horizontal="center" vertical="center"/>
      <protection hidden="1"/>
    </xf>
    <xf numFmtId="164" fontId="30" fillId="0" borderId="3" xfId="0" applyNumberFormat="1" applyFont="1" applyFill="1" applyBorder="1" applyAlignment="1" applyProtection="1">
      <alignment horizontal="center" vertical="center"/>
      <protection hidden="1"/>
    </xf>
    <xf numFmtId="0" fontId="31" fillId="0" borderId="10" xfId="0" applyFont="1" applyFill="1" applyBorder="1" applyAlignment="1" applyProtection="1">
      <alignment horizontal="center" vertical="center" wrapText="1"/>
      <protection hidden="1"/>
    </xf>
  </cellXfs>
  <cellStyles count="7">
    <cellStyle name="Euro" xfId="1"/>
    <cellStyle name="Gut" xfId="2" builtinId="26"/>
    <cellStyle name="Komma" xfId="6" builtinId="3"/>
    <cellStyle name="Standard" xfId="0" builtinId="0"/>
    <cellStyle name="Standard 2" xfId="5"/>
    <cellStyle name="Standard_Datenblatt_Heinzebank" xfId="3"/>
    <cellStyle name="Standard_Modelle" xfId="4"/>
  </cellStyles>
  <dxfs count="38">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44"/>
        </patternFill>
      </fill>
    </dxf>
    <dxf>
      <fill>
        <patternFill>
          <bgColor indexed="42"/>
        </patternFill>
      </fill>
    </dxf>
    <dxf>
      <fill>
        <patternFill>
          <bgColor indexed="13"/>
        </patternFill>
      </fill>
    </dxf>
    <dxf>
      <fill>
        <patternFill>
          <bgColor indexed="22"/>
        </patternFill>
      </fill>
    </dxf>
    <dxf>
      <fill>
        <patternFill>
          <bgColor indexed="22"/>
        </patternFill>
      </fill>
    </dxf>
  </dxfs>
  <tableStyles count="0" defaultTableStyle="TableStyleMedium2" defaultPivotStyle="PivotStyleLight16"/>
  <colors>
    <mruColors>
      <color rgb="FFFFFFCC"/>
      <color rgb="FFCCFFFF"/>
      <color rgb="FFCCFFCC"/>
      <color rgb="FFFFCCFF"/>
      <color rgb="FF66CCFF"/>
      <color rgb="FFFF99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809625</xdr:colOff>
      <xdr:row>9</xdr:row>
      <xdr:rowOff>104775</xdr:rowOff>
    </xdr:from>
    <xdr:to>
      <xdr:col>22</xdr:col>
      <xdr:colOff>94690</xdr:colOff>
      <xdr:row>14</xdr:row>
      <xdr:rowOff>57035</xdr:rowOff>
    </xdr:to>
    <xdr:pic>
      <xdr:nvPicPr>
        <xdr:cNvPr id="3" name="Grafik 2"/>
        <xdr:cNvPicPr>
          <a:picLocks noChangeAspect="1"/>
        </xdr:cNvPicPr>
      </xdr:nvPicPr>
      <xdr:blipFill>
        <a:blip xmlns:r="http://schemas.openxmlformats.org/officeDocument/2006/relationships" r:embed="rId1"/>
        <a:stretch>
          <a:fillRect/>
        </a:stretch>
      </xdr:blipFill>
      <xdr:spPr>
        <a:xfrm>
          <a:off x="17697450" y="2505075"/>
          <a:ext cx="4476191" cy="92381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workbookViewId="0">
      <selection activeCell="A19" sqref="A19"/>
    </sheetView>
  </sheetViews>
  <sheetFormatPr baseColWidth="10" defaultColWidth="11.42578125" defaultRowHeight="12.75" x14ac:dyDescent="0.2"/>
  <cols>
    <col min="1" max="1" width="166.140625" style="1" customWidth="1"/>
    <col min="2" max="16384" width="11.42578125" style="1"/>
  </cols>
  <sheetData>
    <row r="1" spans="1:1" ht="15.75" customHeight="1" x14ac:dyDescent="0.2">
      <c r="A1" s="1" t="s">
        <v>188</v>
      </c>
    </row>
    <row r="2" spans="1:1" ht="15.75" customHeight="1" x14ac:dyDescent="0.2">
      <c r="A2" s="1" t="s">
        <v>184</v>
      </c>
    </row>
    <row r="3" spans="1:1" ht="15.75" customHeight="1" x14ac:dyDescent="0.2">
      <c r="A3" s="1" t="s">
        <v>185</v>
      </c>
    </row>
    <row r="4" spans="1:1" ht="15.75" customHeight="1" x14ac:dyDescent="0.2">
      <c r="A4" s="1" t="s">
        <v>186</v>
      </c>
    </row>
    <row r="5" spans="1:1" ht="15.75" customHeight="1" x14ac:dyDescent="0.2">
      <c r="A5" s="1" t="s">
        <v>187</v>
      </c>
    </row>
    <row r="6" spans="1:1" ht="15.75" customHeight="1" x14ac:dyDescent="0.2">
      <c r="A6" s="1" t="s">
        <v>212</v>
      </c>
    </row>
    <row r="7" spans="1:1" ht="15.75" customHeight="1" x14ac:dyDescent="0.2"/>
    <row r="8" spans="1:1" ht="15.75" customHeight="1" x14ac:dyDescent="0.2">
      <c r="A8" s="1" t="s">
        <v>189</v>
      </c>
    </row>
    <row r="9" spans="1:1" ht="15.75" customHeight="1" x14ac:dyDescent="0.2">
      <c r="A9" s="309" t="s">
        <v>183</v>
      </c>
    </row>
    <row r="10" spans="1:1" ht="15.75" customHeight="1" x14ac:dyDescent="0.2">
      <c r="A10" s="310" t="s">
        <v>198</v>
      </c>
    </row>
    <row r="11" spans="1:1" ht="15.75" customHeight="1" x14ac:dyDescent="0.2">
      <c r="A11" s="311" t="s">
        <v>199</v>
      </c>
    </row>
  </sheetData>
  <sheetProtection password="CDE3" sheet="1" objects="1" scenarios="1"/>
  <pageMargins left="0.70866141732283472" right="0.70866141732283472" top="0.78740157480314965" bottom="0.78740157480314965" header="0.31496062992125984" footer="0.31496062992125984"/>
  <pageSetup paperSize="9" scale="78" orientation="landscape" r:id="rId1"/>
  <headerFooter>
    <oddHeader>&amp;C&amp;F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O27"/>
  <sheetViews>
    <sheetView zoomScaleNormal="100" workbookViewId="0">
      <pane xSplit="1" ySplit="3" topLeftCell="B4" activePane="bottomRight" state="frozen"/>
      <selection pane="topRight" activeCell="B1" sqref="B1"/>
      <selection pane="bottomLeft" activeCell="A4" sqref="A4"/>
      <selection pane="bottomRight" activeCell="A4" sqref="A4"/>
    </sheetView>
  </sheetViews>
  <sheetFormatPr baseColWidth="10" defaultColWidth="11.42578125" defaultRowHeight="12.75" x14ac:dyDescent="0.25"/>
  <cols>
    <col min="1" max="1" width="34" style="12" customWidth="1"/>
    <col min="2" max="2" width="13.5703125" style="3" customWidth="1"/>
    <col min="3" max="15" width="13" style="12" customWidth="1"/>
    <col min="16" max="16" width="14.5703125" style="12" customWidth="1"/>
    <col min="17" max="18" width="15.7109375" style="12" customWidth="1"/>
    <col min="19" max="19" width="14.5703125" style="12" customWidth="1"/>
    <col min="20" max="20" width="14.42578125" style="12" customWidth="1"/>
    <col min="21" max="16384" width="11.42578125" style="12"/>
  </cols>
  <sheetData>
    <row r="1" spans="1:15" s="134" customFormat="1" ht="30" customHeight="1" x14ac:dyDescent="0.25">
      <c r="A1" s="2" t="s">
        <v>176</v>
      </c>
      <c r="B1" s="133"/>
    </row>
    <row r="2" spans="1:15" ht="15" customHeight="1" x14ac:dyDescent="0.25">
      <c r="A2" s="135" t="s">
        <v>175</v>
      </c>
      <c r="B2" s="6"/>
      <c r="C2" s="28" t="s">
        <v>200</v>
      </c>
      <c r="D2" s="136">
        <v>1</v>
      </c>
      <c r="E2" s="136">
        <v>2</v>
      </c>
      <c r="F2" s="136">
        <v>3</v>
      </c>
      <c r="G2" s="136">
        <v>4</v>
      </c>
      <c r="H2" s="136">
        <v>5</v>
      </c>
      <c r="I2" s="136">
        <v>6</v>
      </c>
      <c r="J2" s="136">
        <v>7</v>
      </c>
      <c r="K2" s="136">
        <v>8</v>
      </c>
      <c r="L2" s="136">
        <v>9</v>
      </c>
      <c r="M2" s="136">
        <v>10</v>
      </c>
      <c r="N2" s="136">
        <v>11</v>
      </c>
      <c r="O2" s="136">
        <v>12</v>
      </c>
    </row>
    <row r="3" spans="1:15" s="8" customFormat="1" ht="18" customHeight="1" x14ac:dyDescent="0.25">
      <c r="A3" s="137" t="s">
        <v>56</v>
      </c>
      <c r="B3" s="14"/>
      <c r="C3" s="138" t="s">
        <v>205</v>
      </c>
      <c r="D3" s="139" t="s">
        <v>126</v>
      </c>
      <c r="E3" s="139" t="s">
        <v>127</v>
      </c>
      <c r="F3" s="139" t="s">
        <v>128</v>
      </c>
      <c r="G3" s="139" t="s">
        <v>129</v>
      </c>
      <c r="H3" s="139" t="s">
        <v>130</v>
      </c>
      <c r="I3" s="139" t="s">
        <v>131</v>
      </c>
      <c r="J3" s="139" t="s">
        <v>132</v>
      </c>
      <c r="K3" s="139" t="s">
        <v>133</v>
      </c>
      <c r="L3" s="139" t="s">
        <v>134</v>
      </c>
      <c r="M3" s="139" t="s">
        <v>135</v>
      </c>
      <c r="N3" s="139" t="s">
        <v>137</v>
      </c>
      <c r="O3" s="139" t="s">
        <v>136</v>
      </c>
    </row>
    <row r="4" spans="1:15" ht="15" customHeight="1" x14ac:dyDescent="0.25">
      <c r="A4" s="62" t="s">
        <v>18</v>
      </c>
      <c r="B4" s="63" t="s">
        <v>156</v>
      </c>
      <c r="C4" s="140">
        <v>480</v>
      </c>
      <c r="D4" s="141">
        <v>60</v>
      </c>
      <c r="E4" s="141">
        <v>70</v>
      </c>
      <c r="F4" s="141">
        <v>80</v>
      </c>
      <c r="G4" s="141">
        <v>120</v>
      </c>
      <c r="H4" s="141">
        <v>180</v>
      </c>
      <c r="I4" s="141">
        <v>240</v>
      </c>
      <c r="J4" s="141">
        <v>480</v>
      </c>
      <c r="K4" s="141">
        <v>480</v>
      </c>
      <c r="L4" s="141">
        <v>720</v>
      </c>
      <c r="M4" s="141">
        <v>720</v>
      </c>
      <c r="N4" s="141">
        <v>1200</v>
      </c>
      <c r="O4" s="141">
        <v>1200</v>
      </c>
    </row>
    <row r="5" spans="1:15" ht="15" customHeight="1" x14ac:dyDescent="0.25">
      <c r="A5" s="66" t="s">
        <v>154</v>
      </c>
      <c r="B5" s="67" t="s">
        <v>155</v>
      </c>
      <c r="C5" s="32">
        <v>410</v>
      </c>
      <c r="D5" s="33">
        <v>410</v>
      </c>
      <c r="E5" s="33">
        <v>410</v>
      </c>
      <c r="F5" s="33">
        <v>410</v>
      </c>
      <c r="G5" s="33">
        <v>410</v>
      </c>
      <c r="H5" s="33">
        <v>410</v>
      </c>
      <c r="I5" s="33">
        <v>410</v>
      </c>
      <c r="J5" s="33">
        <v>410</v>
      </c>
      <c r="K5" s="33">
        <v>410</v>
      </c>
      <c r="L5" s="33">
        <v>410</v>
      </c>
      <c r="M5" s="33">
        <v>410</v>
      </c>
      <c r="N5" s="33">
        <v>410</v>
      </c>
      <c r="O5" s="33">
        <v>410</v>
      </c>
    </row>
    <row r="6" spans="1:15" ht="15" customHeight="1" x14ac:dyDescent="0.25">
      <c r="A6" s="66" t="s">
        <v>20</v>
      </c>
      <c r="B6" s="67" t="s">
        <v>155</v>
      </c>
      <c r="C6" s="32">
        <v>56</v>
      </c>
      <c r="D6" s="33">
        <v>56</v>
      </c>
      <c r="E6" s="33">
        <v>56</v>
      </c>
      <c r="F6" s="33">
        <v>56</v>
      </c>
      <c r="G6" s="33">
        <v>56</v>
      </c>
      <c r="H6" s="33">
        <v>56</v>
      </c>
      <c r="I6" s="33">
        <v>56</v>
      </c>
      <c r="J6" s="33">
        <v>56</v>
      </c>
      <c r="K6" s="33">
        <v>56</v>
      </c>
      <c r="L6" s="33">
        <v>56</v>
      </c>
      <c r="M6" s="33">
        <v>56</v>
      </c>
      <c r="N6" s="33">
        <v>56</v>
      </c>
      <c r="O6" s="33">
        <v>56</v>
      </c>
    </row>
    <row r="7" spans="1:15" ht="15" customHeight="1" x14ac:dyDescent="0.25">
      <c r="A7" s="66" t="s">
        <v>190</v>
      </c>
      <c r="B7" s="67" t="s">
        <v>156</v>
      </c>
      <c r="C7" s="142">
        <f>C4*(C5-C6)/C5</f>
        <v>414.4390243902439</v>
      </c>
      <c r="D7" s="143">
        <f>D4*(D5-D6)/D5</f>
        <v>51.804878048780488</v>
      </c>
      <c r="E7" s="143">
        <f t="shared" ref="E7:O7" si="0">E4*(E5-E6)/E5</f>
        <v>60.439024390243901</v>
      </c>
      <c r="F7" s="143">
        <f t="shared" si="0"/>
        <v>69.073170731707322</v>
      </c>
      <c r="G7" s="143">
        <f t="shared" si="0"/>
        <v>103.60975609756098</v>
      </c>
      <c r="H7" s="143">
        <f t="shared" si="0"/>
        <v>155.41463414634146</v>
      </c>
      <c r="I7" s="143">
        <f t="shared" si="0"/>
        <v>207.21951219512195</v>
      </c>
      <c r="J7" s="143">
        <f t="shared" si="0"/>
        <v>414.4390243902439</v>
      </c>
      <c r="K7" s="143">
        <f t="shared" si="0"/>
        <v>414.4390243902439</v>
      </c>
      <c r="L7" s="143">
        <f t="shared" si="0"/>
        <v>621.65853658536582</v>
      </c>
      <c r="M7" s="143">
        <f t="shared" si="0"/>
        <v>621.65853658536582</v>
      </c>
      <c r="N7" s="143">
        <f t="shared" si="0"/>
        <v>1036.0975609756097</v>
      </c>
      <c r="O7" s="143">
        <f t="shared" si="0"/>
        <v>1036.0975609756097</v>
      </c>
    </row>
    <row r="8" spans="1:15" ht="15" customHeight="1" x14ac:dyDescent="0.25">
      <c r="A8" s="66" t="s">
        <v>158</v>
      </c>
      <c r="B8" s="67" t="s">
        <v>157</v>
      </c>
      <c r="C8" s="144">
        <v>10000</v>
      </c>
      <c r="D8" s="143">
        <v>10000</v>
      </c>
      <c r="E8" s="143">
        <v>10000</v>
      </c>
      <c r="F8" s="143">
        <v>10000</v>
      </c>
      <c r="G8" s="143">
        <v>10000</v>
      </c>
      <c r="H8" s="143">
        <v>10000</v>
      </c>
      <c r="I8" s="143">
        <v>10000</v>
      </c>
      <c r="J8" s="143">
        <v>10000</v>
      </c>
      <c r="K8" s="143">
        <v>10000</v>
      </c>
      <c r="L8" s="143">
        <v>10000</v>
      </c>
      <c r="M8" s="143">
        <v>10000</v>
      </c>
      <c r="N8" s="143">
        <v>10000</v>
      </c>
      <c r="O8" s="143">
        <v>10000</v>
      </c>
    </row>
    <row r="9" spans="1:15" ht="15" customHeight="1" x14ac:dyDescent="0.25">
      <c r="A9" s="66" t="s">
        <v>160</v>
      </c>
      <c r="B9" s="67" t="s">
        <v>159</v>
      </c>
      <c r="C9" s="145">
        <f t="shared" ref="C9" si="1">C8*C4/365</f>
        <v>13150.684931506848</v>
      </c>
      <c r="D9" s="143">
        <f t="shared" ref="D9:E9" si="2">D8*D4/365</f>
        <v>1643.8356164383561</v>
      </c>
      <c r="E9" s="143">
        <f t="shared" si="2"/>
        <v>1917.8082191780823</v>
      </c>
      <c r="F9" s="143">
        <f t="shared" ref="F9:O9" si="3">F8*F4/365</f>
        <v>2191.7808219178082</v>
      </c>
      <c r="G9" s="143">
        <f t="shared" si="3"/>
        <v>3287.6712328767121</v>
      </c>
      <c r="H9" s="143">
        <f t="shared" si="3"/>
        <v>4931.5068493150684</v>
      </c>
      <c r="I9" s="143">
        <f t="shared" si="3"/>
        <v>6575.3424657534242</v>
      </c>
      <c r="J9" s="143">
        <f t="shared" si="3"/>
        <v>13150.684931506848</v>
      </c>
      <c r="K9" s="143">
        <f t="shared" si="3"/>
        <v>13150.684931506848</v>
      </c>
      <c r="L9" s="143">
        <f t="shared" si="3"/>
        <v>19726.027397260274</v>
      </c>
      <c r="M9" s="143">
        <f t="shared" si="3"/>
        <v>19726.027397260274</v>
      </c>
      <c r="N9" s="143">
        <f t="shared" si="3"/>
        <v>32876.71232876712</v>
      </c>
      <c r="O9" s="143">
        <f t="shared" si="3"/>
        <v>32876.71232876712</v>
      </c>
    </row>
    <row r="10" spans="1:15" ht="15" customHeight="1" x14ac:dyDescent="0.25">
      <c r="A10" s="66" t="s">
        <v>23</v>
      </c>
      <c r="B10" s="67" t="s">
        <v>161</v>
      </c>
      <c r="C10" s="68">
        <f t="shared" ref="C10" si="4">C8*C4/365/C7</f>
        <v>31.731290147821372</v>
      </c>
      <c r="D10" s="69">
        <f t="shared" ref="D10:E10" si="5">D8*D4/365/D7</f>
        <v>31.731290147821372</v>
      </c>
      <c r="E10" s="69">
        <f t="shared" si="5"/>
        <v>31.73129014782138</v>
      </c>
      <c r="F10" s="69">
        <f t="shared" ref="F10:O10" si="6">F8*F4/365/F7</f>
        <v>31.731290147821372</v>
      </c>
      <c r="G10" s="69">
        <f t="shared" si="6"/>
        <v>31.731290147821372</v>
      </c>
      <c r="H10" s="69">
        <f t="shared" si="6"/>
        <v>31.731290147821376</v>
      </c>
      <c r="I10" s="69">
        <f t="shared" si="6"/>
        <v>31.731290147821372</v>
      </c>
      <c r="J10" s="69">
        <f t="shared" si="6"/>
        <v>31.731290147821372</v>
      </c>
      <c r="K10" s="69">
        <f t="shared" si="6"/>
        <v>31.731290147821372</v>
      </c>
      <c r="L10" s="69">
        <f t="shared" si="6"/>
        <v>31.731290147821376</v>
      </c>
      <c r="M10" s="69">
        <f t="shared" si="6"/>
        <v>31.731290147821376</v>
      </c>
      <c r="N10" s="69">
        <f t="shared" si="6"/>
        <v>31.731290147821376</v>
      </c>
      <c r="O10" s="69">
        <f t="shared" si="6"/>
        <v>31.731290147821376</v>
      </c>
    </row>
    <row r="11" spans="1:15" ht="15" customHeight="1" x14ac:dyDescent="0.25">
      <c r="A11" s="66" t="s">
        <v>110</v>
      </c>
      <c r="B11" s="67" t="s">
        <v>162</v>
      </c>
      <c r="C11" s="146">
        <v>2</v>
      </c>
      <c r="D11" s="90">
        <v>2</v>
      </c>
      <c r="E11" s="90">
        <v>2</v>
      </c>
      <c r="F11" s="90">
        <v>2</v>
      </c>
      <c r="G11" s="90">
        <v>2</v>
      </c>
      <c r="H11" s="90">
        <v>2</v>
      </c>
      <c r="I11" s="90">
        <v>2</v>
      </c>
      <c r="J11" s="90">
        <v>2</v>
      </c>
      <c r="K11" s="90">
        <v>2</v>
      </c>
      <c r="L11" s="90">
        <v>2</v>
      </c>
      <c r="M11" s="90">
        <v>2</v>
      </c>
      <c r="N11" s="90">
        <v>2</v>
      </c>
      <c r="O11" s="90">
        <v>2</v>
      </c>
    </row>
    <row r="12" spans="1:15" ht="15" customHeight="1" x14ac:dyDescent="0.25">
      <c r="A12" s="66" t="s">
        <v>24</v>
      </c>
      <c r="B12" s="67" t="s">
        <v>162</v>
      </c>
      <c r="C12" s="32">
        <v>2</v>
      </c>
      <c r="D12" s="33">
        <v>2</v>
      </c>
      <c r="E12" s="33">
        <v>2</v>
      </c>
      <c r="F12" s="33">
        <v>2</v>
      </c>
      <c r="G12" s="33">
        <v>2</v>
      </c>
      <c r="H12" s="33">
        <v>2</v>
      </c>
      <c r="I12" s="33">
        <v>2</v>
      </c>
      <c r="J12" s="33">
        <v>2</v>
      </c>
      <c r="K12" s="33">
        <v>2</v>
      </c>
      <c r="L12" s="33">
        <v>2</v>
      </c>
      <c r="M12" s="33">
        <v>2</v>
      </c>
      <c r="N12" s="33">
        <v>2</v>
      </c>
      <c r="O12" s="33">
        <v>2</v>
      </c>
    </row>
    <row r="13" spans="1:15" ht="15" customHeight="1" x14ac:dyDescent="0.25">
      <c r="A13" s="66" t="s">
        <v>164</v>
      </c>
      <c r="B13" s="67" t="s">
        <v>163</v>
      </c>
      <c r="C13" s="68">
        <f t="shared" ref="C13" si="7">C10/C12</f>
        <v>15.865645073910686</v>
      </c>
      <c r="D13" s="69">
        <f t="shared" ref="D13:E13" si="8">D10/D12</f>
        <v>15.865645073910686</v>
      </c>
      <c r="E13" s="69">
        <f t="shared" si="8"/>
        <v>15.86564507391069</v>
      </c>
      <c r="F13" s="69">
        <f t="shared" ref="F13:O13" si="9">F10/F12</f>
        <v>15.865645073910686</v>
      </c>
      <c r="G13" s="69">
        <f t="shared" si="9"/>
        <v>15.865645073910686</v>
      </c>
      <c r="H13" s="69">
        <f t="shared" si="9"/>
        <v>15.865645073910688</v>
      </c>
      <c r="I13" s="69">
        <f t="shared" si="9"/>
        <v>15.865645073910686</v>
      </c>
      <c r="J13" s="69">
        <f t="shared" si="9"/>
        <v>15.865645073910686</v>
      </c>
      <c r="K13" s="69">
        <f t="shared" si="9"/>
        <v>15.865645073910686</v>
      </c>
      <c r="L13" s="69">
        <f t="shared" si="9"/>
        <v>15.865645073910688</v>
      </c>
      <c r="M13" s="69">
        <f t="shared" si="9"/>
        <v>15.865645073910688</v>
      </c>
      <c r="N13" s="69">
        <f t="shared" si="9"/>
        <v>15.865645073910688</v>
      </c>
      <c r="O13" s="69">
        <f t="shared" si="9"/>
        <v>15.865645073910688</v>
      </c>
    </row>
    <row r="14" spans="1:15" ht="15" customHeight="1" x14ac:dyDescent="0.25">
      <c r="A14" s="66" t="s">
        <v>26</v>
      </c>
      <c r="B14" s="67" t="s">
        <v>165</v>
      </c>
      <c r="C14" s="147">
        <v>2</v>
      </c>
      <c r="D14" s="69">
        <v>2</v>
      </c>
      <c r="E14" s="69">
        <v>2</v>
      </c>
      <c r="F14" s="69">
        <v>2</v>
      </c>
      <c r="G14" s="69">
        <v>2</v>
      </c>
      <c r="H14" s="69">
        <v>2</v>
      </c>
      <c r="I14" s="69">
        <v>2</v>
      </c>
      <c r="J14" s="69">
        <v>2</v>
      </c>
      <c r="K14" s="69">
        <v>2</v>
      </c>
      <c r="L14" s="69">
        <v>2</v>
      </c>
      <c r="M14" s="69">
        <v>2</v>
      </c>
      <c r="N14" s="69">
        <v>2</v>
      </c>
      <c r="O14" s="69">
        <v>2</v>
      </c>
    </row>
    <row r="15" spans="1:15" ht="15" customHeight="1" x14ac:dyDescent="0.25">
      <c r="A15" s="66" t="s">
        <v>166</v>
      </c>
      <c r="B15" s="67" t="s">
        <v>55</v>
      </c>
      <c r="C15" s="68">
        <f t="shared" ref="C15" si="10">C13/C14</f>
        <v>7.9328225369553431</v>
      </c>
      <c r="D15" s="69">
        <f t="shared" ref="D15:E15" si="11">D13/D14</f>
        <v>7.9328225369553431</v>
      </c>
      <c r="E15" s="69">
        <f t="shared" si="11"/>
        <v>7.9328225369553449</v>
      </c>
      <c r="F15" s="69">
        <f t="shared" ref="F15:O15" si="12">F13/F14</f>
        <v>7.9328225369553431</v>
      </c>
      <c r="G15" s="69">
        <f t="shared" si="12"/>
        <v>7.9328225369553431</v>
      </c>
      <c r="H15" s="69">
        <f t="shared" si="12"/>
        <v>7.932822536955344</v>
      </c>
      <c r="I15" s="69">
        <f t="shared" si="12"/>
        <v>7.9328225369553431</v>
      </c>
      <c r="J15" s="69">
        <f t="shared" si="12"/>
        <v>7.9328225369553431</v>
      </c>
      <c r="K15" s="69">
        <f t="shared" si="12"/>
        <v>7.9328225369553431</v>
      </c>
      <c r="L15" s="69">
        <f t="shared" si="12"/>
        <v>7.932822536955344</v>
      </c>
      <c r="M15" s="69">
        <f t="shared" si="12"/>
        <v>7.932822536955344</v>
      </c>
      <c r="N15" s="69">
        <f t="shared" si="12"/>
        <v>7.932822536955344</v>
      </c>
      <c r="O15" s="69">
        <f t="shared" si="12"/>
        <v>7.932822536955344</v>
      </c>
    </row>
    <row r="16" spans="1:15" ht="15" customHeight="1" x14ac:dyDescent="0.25">
      <c r="A16" s="66" t="s">
        <v>104</v>
      </c>
      <c r="B16" s="67" t="s">
        <v>162</v>
      </c>
      <c r="C16" s="145">
        <f t="shared" ref="C16" si="13">C12*C7</f>
        <v>828.8780487804878</v>
      </c>
      <c r="D16" s="143">
        <f t="shared" ref="D16:E16" si="14">D12*D7</f>
        <v>103.60975609756098</v>
      </c>
      <c r="E16" s="143">
        <f t="shared" si="14"/>
        <v>120.8780487804878</v>
      </c>
      <c r="F16" s="143">
        <f t="shared" ref="F16:O16" si="15">F12*F7</f>
        <v>138.14634146341464</v>
      </c>
      <c r="G16" s="143">
        <f t="shared" si="15"/>
        <v>207.21951219512195</v>
      </c>
      <c r="H16" s="143">
        <f t="shared" si="15"/>
        <v>310.82926829268291</v>
      </c>
      <c r="I16" s="143">
        <f t="shared" si="15"/>
        <v>414.4390243902439</v>
      </c>
      <c r="J16" s="143">
        <f t="shared" si="15"/>
        <v>828.8780487804878</v>
      </c>
      <c r="K16" s="143">
        <f t="shared" si="15"/>
        <v>828.8780487804878</v>
      </c>
      <c r="L16" s="143">
        <f t="shared" si="15"/>
        <v>1243.3170731707316</v>
      </c>
      <c r="M16" s="143">
        <f t="shared" si="15"/>
        <v>1243.3170731707316</v>
      </c>
      <c r="N16" s="143">
        <f t="shared" si="15"/>
        <v>2072.1951219512193</v>
      </c>
      <c r="O16" s="143">
        <f t="shared" si="15"/>
        <v>2072.1951219512193</v>
      </c>
    </row>
    <row r="17" spans="1:15" ht="15" customHeight="1" x14ac:dyDescent="0.25">
      <c r="A17" s="34" t="s">
        <v>105</v>
      </c>
      <c r="B17" s="86" t="s">
        <v>162</v>
      </c>
      <c r="C17" s="36">
        <v>2</v>
      </c>
      <c r="D17" s="37">
        <v>2</v>
      </c>
      <c r="E17" s="37">
        <v>2</v>
      </c>
      <c r="F17" s="37">
        <v>2</v>
      </c>
      <c r="G17" s="37">
        <v>2</v>
      </c>
      <c r="H17" s="37">
        <v>2</v>
      </c>
      <c r="I17" s="37">
        <v>2</v>
      </c>
      <c r="J17" s="37">
        <v>2</v>
      </c>
      <c r="K17" s="37">
        <v>2</v>
      </c>
      <c r="L17" s="37">
        <v>2</v>
      </c>
      <c r="M17" s="37">
        <v>2</v>
      </c>
      <c r="N17" s="37">
        <v>2</v>
      </c>
      <c r="O17" s="37">
        <v>2</v>
      </c>
    </row>
    <row r="18" spans="1:15" ht="6.95" customHeight="1" x14ac:dyDescent="0.25"/>
    <row r="19" spans="1:15" ht="18" customHeight="1" x14ac:dyDescent="0.25">
      <c r="A19" s="148" t="s">
        <v>204</v>
      </c>
      <c r="B19" s="149"/>
      <c r="C19" s="150"/>
      <c r="D19" s="150"/>
      <c r="E19" s="150"/>
      <c r="F19" s="150"/>
      <c r="G19" s="150"/>
      <c r="H19" s="150"/>
      <c r="I19" s="150"/>
      <c r="J19" s="150"/>
      <c r="K19" s="150"/>
      <c r="L19" s="150"/>
      <c r="M19" s="150"/>
      <c r="N19" s="150"/>
      <c r="O19" s="151"/>
    </row>
    <row r="20" spans="1:15" ht="15" customHeight="1" x14ac:dyDescent="0.25">
      <c r="A20" s="26" t="s">
        <v>57</v>
      </c>
      <c r="B20" s="27"/>
      <c r="C20" s="152" t="s">
        <v>61</v>
      </c>
      <c r="D20" s="65" t="s">
        <v>62</v>
      </c>
      <c r="E20" s="65" t="s">
        <v>62</v>
      </c>
      <c r="F20" s="65" t="s">
        <v>62</v>
      </c>
      <c r="G20" s="65" t="s">
        <v>62</v>
      </c>
      <c r="H20" s="65" t="s">
        <v>61</v>
      </c>
      <c r="I20" s="65" t="s">
        <v>61</v>
      </c>
      <c r="J20" s="65" t="s">
        <v>61</v>
      </c>
      <c r="K20" s="65" t="s">
        <v>61</v>
      </c>
      <c r="L20" s="65" t="s">
        <v>61</v>
      </c>
      <c r="M20" s="65" t="s">
        <v>61</v>
      </c>
      <c r="N20" s="65" t="s">
        <v>61</v>
      </c>
      <c r="O20" s="65" t="s">
        <v>61</v>
      </c>
    </row>
    <row r="21" spans="1:15" ht="15" customHeight="1" x14ac:dyDescent="0.25">
      <c r="A21" s="30" t="s">
        <v>58</v>
      </c>
      <c r="B21" s="31"/>
      <c r="C21" s="153" t="s">
        <v>61</v>
      </c>
      <c r="D21" s="69" t="s">
        <v>61</v>
      </c>
      <c r="E21" s="69" t="s">
        <v>61</v>
      </c>
      <c r="F21" s="69" t="s">
        <v>61</v>
      </c>
      <c r="G21" s="69" t="s">
        <v>61</v>
      </c>
      <c r="H21" s="69" t="s">
        <v>61</v>
      </c>
      <c r="I21" s="69" t="s">
        <v>61</v>
      </c>
      <c r="J21" s="69" t="s">
        <v>61</v>
      </c>
      <c r="K21" s="69" t="s">
        <v>61</v>
      </c>
      <c r="L21" s="69" t="s">
        <v>61</v>
      </c>
      <c r="M21" s="69" t="s">
        <v>61</v>
      </c>
      <c r="N21" s="69" t="s">
        <v>61</v>
      </c>
      <c r="O21" s="69" t="s">
        <v>61</v>
      </c>
    </row>
    <row r="22" spans="1:15" ht="15" customHeight="1" x14ac:dyDescent="0.25">
      <c r="A22" s="30" t="s">
        <v>116</v>
      </c>
      <c r="B22" s="31"/>
      <c r="C22" s="153" t="s">
        <v>61</v>
      </c>
      <c r="D22" s="69" t="s">
        <v>61</v>
      </c>
      <c r="E22" s="69" t="s">
        <v>61</v>
      </c>
      <c r="F22" s="69" t="s">
        <v>61</v>
      </c>
      <c r="G22" s="69" t="s">
        <v>61</v>
      </c>
      <c r="H22" s="69" t="s">
        <v>61</v>
      </c>
      <c r="I22" s="69" t="s">
        <v>61</v>
      </c>
      <c r="J22" s="69" t="s">
        <v>61</v>
      </c>
      <c r="K22" s="69" t="s">
        <v>61</v>
      </c>
      <c r="L22" s="69" t="s">
        <v>61</v>
      </c>
      <c r="M22" s="69" t="s">
        <v>61</v>
      </c>
      <c r="N22" s="69" t="s">
        <v>61</v>
      </c>
      <c r="O22" s="69" t="s">
        <v>61</v>
      </c>
    </row>
    <row r="23" spans="1:15" ht="15" customHeight="1" x14ac:dyDescent="0.25">
      <c r="A23" s="30" t="s">
        <v>54</v>
      </c>
      <c r="B23" s="31"/>
      <c r="C23" s="153" t="s">
        <v>61</v>
      </c>
      <c r="D23" s="69" t="s">
        <v>61</v>
      </c>
      <c r="E23" s="69" t="s">
        <v>61</v>
      </c>
      <c r="F23" s="69" t="s">
        <v>61</v>
      </c>
      <c r="G23" s="69" t="s">
        <v>61</v>
      </c>
      <c r="H23" s="69" t="s">
        <v>61</v>
      </c>
      <c r="I23" s="69" t="s">
        <v>61</v>
      </c>
      <c r="J23" s="69" t="s">
        <v>61</v>
      </c>
      <c r="K23" s="69" t="s">
        <v>61</v>
      </c>
      <c r="L23" s="69" t="s">
        <v>61</v>
      </c>
      <c r="M23" s="69" t="s">
        <v>61</v>
      </c>
      <c r="N23" s="69" t="s">
        <v>61</v>
      </c>
      <c r="O23" s="69" t="s">
        <v>61</v>
      </c>
    </row>
    <row r="24" spans="1:15" ht="15" customHeight="1" x14ac:dyDescent="0.25">
      <c r="A24" s="30" t="s">
        <v>59</v>
      </c>
      <c r="B24" s="31"/>
      <c r="C24" s="153" t="s">
        <v>62</v>
      </c>
      <c r="D24" s="69" t="s">
        <v>62</v>
      </c>
      <c r="E24" s="69" t="s">
        <v>62</v>
      </c>
      <c r="F24" s="69" t="s">
        <v>62</v>
      </c>
      <c r="G24" s="69" t="s">
        <v>62</v>
      </c>
      <c r="H24" s="69" t="s">
        <v>62</v>
      </c>
      <c r="I24" s="69" t="s">
        <v>62</v>
      </c>
      <c r="J24" s="69" t="s">
        <v>62</v>
      </c>
      <c r="K24" s="69" t="s">
        <v>62</v>
      </c>
      <c r="L24" s="69" t="s">
        <v>62</v>
      </c>
      <c r="M24" s="69" t="s">
        <v>62</v>
      </c>
      <c r="N24" s="69" t="s">
        <v>62</v>
      </c>
      <c r="O24" s="69" t="s">
        <v>62</v>
      </c>
    </row>
    <row r="25" spans="1:15" ht="15" customHeight="1" x14ac:dyDescent="0.25">
      <c r="A25" s="30" t="s">
        <v>60</v>
      </c>
      <c r="B25" s="31"/>
      <c r="C25" s="153" t="s">
        <v>62</v>
      </c>
      <c r="D25" s="69" t="s">
        <v>62</v>
      </c>
      <c r="E25" s="69" t="s">
        <v>62</v>
      </c>
      <c r="F25" s="69" t="s">
        <v>62</v>
      </c>
      <c r="G25" s="69" t="s">
        <v>62</v>
      </c>
      <c r="H25" s="69" t="s">
        <v>62</v>
      </c>
      <c r="I25" s="69" t="s">
        <v>62</v>
      </c>
      <c r="J25" s="69" t="s">
        <v>62</v>
      </c>
      <c r="K25" s="69" t="s">
        <v>62</v>
      </c>
      <c r="L25" s="69" t="s">
        <v>62</v>
      </c>
      <c r="M25" s="69" t="s">
        <v>62</v>
      </c>
      <c r="N25" s="69" t="s">
        <v>62</v>
      </c>
      <c r="O25" s="69" t="s">
        <v>62</v>
      </c>
    </row>
    <row r="26" spans="1:15" ht="15" customHeight="1" x14ac:dyDescent="0.25">
      <c r="A26" s="154" t="s">
        <v>35</v>
      </c>
      <c r="B26" s="155"/>
      <c r="C26" s="156" t="s">
        <v>61</v>
      </c>
      <c r="D26" s="88" t="s">
        <v>62</v>
      </c>
      <c r="E26" s="88" t="s">
        <v>62</v>
      </c>
      <c r="F26" s="88" t="s">
        <v>62</v>
      </c>
      <c r="G26" s="88" t="s">
        <v>62</v>
      </c>
      <c r="H26" s="88" t="s">
        <v>61</v>
      </c>
      <c r="I26" s="88" t="s">
        <v>61</v>
      </c>
      <c r="J26" s="88" t="s">
        <v>61</v>
      </c>
      <c r="K26" s="88" t="s">
        <v>61</v>
      </c>
      <c r="L26" s="88" t="s">
        <v>61</v>
      </c>
      <c r="M26" s="88" t="s">
        <v>61</v>
      </c>
      <c r="N26" s="88" t="s">
        <v>61</v>
      </c>
      <c r="O26" s="88" t="s">
        <v>61</v>
      </c>
    </row>
    <row r="27" spans="1:15" ht="15" customHeight="1" x14ac:dyDescent="0.25"/>
  </sheetData>
  <sheetProtection password="CDE3" sheet="1" objects="1" scenarios="1"/>
  <phoneticPr fontId="8" type="noConversion"/>
  <printOptions horizontalCentered="1"/>
  <pageMargins left="0.78740157480314965" right="0.78740157480314965" top="0.98425196850393704" bottom="0.98425196850393704" header="0.51181102362204722" footer="0.51181102362204722"/>
  <pageSetup paperSize="9" scale="59" orientation="landscape" r:id="rId1"/>
  <headerFooter alignWithMargins="0">
    <oddHeader>&amp;C&amp;F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Q95"/>
  <sheetViews>
    <sheetView tabSelected="1" zoomScaleNormal="100" workbookViewId="0">
      <pane xSplit="1" ySplit="4" topLeftCell="B42" activePane="bottomRight" state="frozen"/>
      <selection activeCell="C5" sqref="C5"/>
      <selection pane="topRight" activeCell="C5" sqref="C5"/>
      <selection pane="bottomLeft" activeCell="C5" sqref="C5"/>
      <selection pane="bottomRight" activeCell="P55" sqref="P55"/>
    </sheetView>
  </sheetViews>
  <sheetFormatPr baseColWidth="10" defaultColWidth="11.42578125" defaultRowHeight="12.75" x14ac:dyDescent="0.25"/>
  <cols>
    <col min="1" max="1" width="48.85546875" style="12" customWidth="1"/>
    <col min="2" max="2" width="16.28515625" style="3" bestFit="1" customWidth="1"/>
    <col min="3" max="15" width="11.140625" style="12" customWidth="1"/>
    <col min="16" max="19" width="8.42578125" style="12" customWidth="1"/>
    <col min="20" max="16384" width="11.42578125" style="12"/>
  </cols>
  <sheetData>
    <row r="1" spans="1:15" s="4" customFormat="1" ht="30" customHeight="1" x14ac:dyDescent="0.25">
      <c r="A1" s="2" t="s">
        <v>227</v>
      </c>
      <c r="B1" s="3"/>
    </row>
    <row r="2" spans="1:15" s="8" customFormat="1" ht="18" customHeight="1" x14ac:dyDescent="0.25">
      <c r="A2" s="5" t="s">
        <v>175</v>
      </c>
      <c r="B2" s="6"/>
      <c r="C2" s="7" t="str">
        <f>'Melkstand und Herde'!C2</f>
        <v>offen</v>
      </c>
      <c r="D2" s="7">
        <f>'Melkstand und Herde'!D2</f>
        <v>1</v>
      </c>
      <c r="E2" s="7">
        <f>'Melkstand und Herde'!E2</f>
        <v>2</v>
      </c>
      <c r="F2" s="7">
        <f>'Melkstand und Herde'!F2</f>
        <v>3</v>
      </c>
      <c r="G2" s="7">
        <f>'Melkstand und Herde'!G2</f>
        <v>4</v>
      </c>
      <c r="H2" s="7">
        <f>'Melkstand und Herde'!H2</f>
        <v>5</v>
      </c>
      <c r="I2" s="7">
        <f>'Melkstand und Herde'!I2</f>
        <v>6</v>
      </c>
      <c r="J2" s="7">
        <f>'Melkstand und Herde'!J2</f>
        <v>7</v>
      </c>
      <c r="K2" s="7">
        <f>'Melkstand und Herde'!K2</f>
        <v>8</v>
      </c>
      <c r="L2" s="7">
        <f>'Melkstand und Herde'!L2</f>
        <v>9</v>
      </c>
      <c r="M2" s="7">
        <f>'Melkstand und Herde'!M2</f>
        <v>10</v>
      </c>
      <c r="N2" s="7">
        <f>'Melkstand und Herde'!N2</f>
        <v>11</v>
      </c>
      <c r="O2" s="7">
        <f>'Melkstand und Herde'!O2</f>
        <v>12</v>
      </c>
    </row>
    <row r="3" spans="1:15" ht="15" customHeight="1" x14ac:dyDescent="0.25">
      <c r="A3" s="9" t="s">
        <v>56</v>
      </c>
      <c r="B3" s="10"/>
      <c r="C3" s="11" t="str">
        <f>'Melkstand und Herde'!C3</f>
        <v>SbS 2X16</v>
      </c>
      <c r="D3" s="11" t="str">
        <f>'Melkstand und Herde'!D3</f>
        <v>FGM 2 x 5</v>
      </c>
      <c r="E3" s="11" t="str">
        <f>'Melkstand und Herde'!E3</f>
        <v>FGM 2 x 6</v>
      </c>
      <c r="F3" s="11" t="str">
        <f>'Melkstand und Herde'!F3</f>
        <v>FGM 2 x 7</v>
      </c>
      <c r="G3" s="11" t="str">
        <f>'Melkstand und Herde'!G3</f>
        <v xml:space="preserve">FGM 2 x 8 </v>
      </c>
      <c r="H3" s="11" t="str">
        <f>'Melkstand und Herde'!H3</f>
        <v>FGM 2 x 10</v>
      </c>
      <c r="I3" s="11" t="str">
        <f>'Melkstand und Herde'!I3</f>
        <v>FGM 2 x 12</v>
      </c>
      <c r="J3" s="11" t="str">
        <f>'Melkstand und Herde'!J3</f>
        <v>SbS 2 x 14</v>
      </c>
      <c r="K3" s="11" t="str">
        <f>'Melkstand und Herde'!K3</f>
        <v>SbS 2 x 16</v>
      </c>
      <c r="L3" s="11" t="str">
        <f>'Melkstand und Herde'!L3</f>
        <v>SbS 2 x 20</v>
      </c>
      <c r="M3" s="11" t="str">
        <f>'Melkstand und Herde'!M3</f>
        <v>SbS 2 x 24</v>
      </c>
      <c r="N3" s="11" t="str">
        <f>'Melkstand und Herde'!N3</f>
        <v>Sbs 2 x 30</v>
      </c>
      <c r="O3" s="11" t="str">
        <f>'Melkstand und Herde'!O3</f>
        <v>SbS 2 x 40</v>
      </c>
    </row>
    <row r="4" spans="1:15" ht="15" customHeight="1" x14ac:dyDescent="0.25">
      <c r="A4" s="13" t="s">
        <v>18</v>
      </c>
      <c r="B4" s="14"/>
      <c r="C4" s="15">
        <f>'Melkstand und Herde'!C4</f>
        <v>480</v>
      </c>
      <c r="D4" s="15">
        <f>'Melkstand und Herde'!D4</f>
        <v>60</v>
      </c>
      <c r="E4" s="15">
        <f>'Melkstand und Herde'!E4</f>
        <v>70</v>
      </c>
      <c r="F4" s="15">
        <f>'Melkstand und Herde'!F4</f>
        <v>80</v>
      </c>
      <c r="G4" s="15">
        <f>'Melkstand und Herde'!G4</f>
        <v>120</v>
      </c>
      <c r="H4" s="15">
        <f>'Melkstand und Herde'!H4</f>
        <v>180</v>
      </c>
      <c r="I4" s="15">
        <f>'Melkstand und Herde'!I4</f>
        <v>240</v>
      </c>
      <c r="J4" s="15">
        <f>'Melkstand und Herde'!J4</f>
        <v>480</v>
      </c>
      <c r="K4" s="15">
        <f>'Melkstand und Herde'!K4</f>
        <v>480</v>
      </c>
      <c r="L4" s="15">
        <f>'Melkstand und Herde'!L4</f>
        <v>720</v>
      </c>
      <c r="M4" s="15">
        <f>'Melkstand und Herde'!M4</f>
        <v>720</v>
      </c>
      <c r="N4" s="15">
        <f>'Melkstand und Herde'!N4</f>
        <v>1200</v>
      </c>
      <c r="O4" s="15">
        <f>'Melkstand und Herde'!O4</f>
        <v>1200</v>
      </c>
    </row>
    <row r="5" spans="1:15" ht="15.75" hidden="1" customHeight="1" x14ac:dyDescent="0.25">
      <c r="A5" s="16" t="s">
        <v>19</v>
      </c>
      <c r="B5" s="17"/>
      <c r="C5" s="18">
        <f>'Melkstand und Herde'!C5</f>
        <v>410</v>
      </c>
      <c r="D5" s="18">
        <f>'Melkstand und Herde'!D5</f>
        <v>410</v>
      </c>
      <c r="E5" s="18">
        <f>'Melkstand und Herde'!E5</f>
        <v>410</v>
      </c>
      <c r="F5" s="18">
        <f>'Melkstand und Herde'!F5</f>
        <v>410</v>
      </c>
      <c r="G5" s="18">
        <f>'Melkstand und Herde'!G5</f>
        <v>410</v>
      </c>
      <c r="H5" s="18">
        <f>'Melkstand und Herde'!H5</f>
        <v>410</v>
      </c>
      <c r="I5" s="18">
        <f>'Melkstand und Herde'!I5</f>
        <v>410</v>
      </c>
      <c r="J5" s="18">
        <f>'Melkstand und Herde'!J5</f>
        <v>410</v>
      </c>
      <c r="K5" s="18">
        <f>'Melkstand und Herde'!K5</f>
        <v>410</v>
      </c>
      <c r="L5" s="18">
        <f>'Melkstand und Herde'!L5</f>
        <v>410</v>
      </c>
      <c r="M5" s="18">
        <f>'Melkstand und Herde'!M5</f>
        <v>410</v>
      </c>
      <c r="N5" s="18">
        <f>'Melkstand und Herde'!N5</f>
        <v>410</v>
      </c>
      <c r="O5" s="19">
        <f>'Melkstand und Herde'!O5</f>
        <v>410</v>
      </c>
    </row>
    <row r="6" spans="1:15" ht="15.75" hidden="1" customHeight="1" x14ac:dyDescent="0.25">
      <c r="A6" s="16" t="s">
        <v>20</v>
      </c>
      <c r="B6" s="17"/>
      <c r="C6" s="18">
        <f>'Melkstand und Herde'!C6</f>
        <v>56</v>
      </c>
      <c r="D6" s="18">
        <f>'Melkstand und Herde'!D6</f>
        <v>56</v>
      </c>
      <c r="E6" s="18">
        <f>'Melkstand und Herde'!E6</f>
        <v>56</v>
      </c>
      <c r="F6" s="18">
        <f>'Melkstand und Herde'!F6</f>
        <v>56</v>
      </c>
      <c r="G6" s="18">
        <f>'Melkstand und Herde'!G6</f>
        <v>56</v>
      </c>
      <c r="H6" s="18">
        <f>'Melkstand und Herde'!H6</f>
        <v>56</v>
      </c>
      <c r="I6" s="18">
        <f>'Melkstand und Herde'!I6</f>
        <v>56</v>
      </c>
      <c r="J6" s="18">
        <f>'Melkstand und Herde'!J6</f>
        <v>56</v>
      </c>
      <c r="K6" s="18">
        <f>'Melkstand und Herde'!K6</f>
        <v>56</v>
      </c>
      <c r="L6" s="18">
        <f>'Melkstand und Herde'!L6</f>
        <v>56</v>
      </c>
      <c r="M6" s="18">
        <f>'Melkstand und Herde'!M6</f>
        <v>56</v>
      </c>
      <c r="N6" s="18">
        <f>'Melkstand und Herde'!N6</f>
        <v>56</v>
      </c>
      <c r="O6" s="19">
        <f>'Melkstand und Herde'!O6</f>
        <v>56</v>
      </c>
    </row>
    <row r="7" spans="1:15" ht="15.75" hidden="1" customHeight="1" x14ac:dyDescent="0.25">
      <c r="A7" s="16" t="s">
        <v>21</v>
      </c>
      <c r="B7" s="17"/>
      <c r="C7" s="20">
        <f>'Melkstand und Herde'!C7</f>
        <v>414.4390243902439</v>
      </c>
      <c r="D7" s="20">
        <f>'Melkstand und Herde'!D7</f>
        <v>51.804878048780488</v>
      </c>
      <c r="E7" s="20">
        <f>'Melkstand und Herde'!E7</f>
        <v>60.439024390243901</v>
      </c>
      <c r="F7" s="20">
        <f>'Melkstand und Herde'!F7</f>
        <v>69.073170731707322</v>
      </c>
      <c r="G7" s="20">
        <f>'Melkstand und Herde'!G7</f>
        <v>103.60975609756098</v>
      </c>
      <c r="H7" s="20">
        <f>'Melkstand und Herde'!H7</f>
        <v>155.41463414634146</v>
      </c>
      <c r="I7" s="20">
        <f>'Melkstand und Herde'!I7</f>
        <v>207.21951219512195</v>
      </c>
      <c r="J7" s="20">
        <f>'Melkstand und Herde'!J7</f>
        <v>414.4390243902439</v>
      </c>
      <c r="K7" s="20">
        <f>'Melkstand und Herde'!K7</f>
        <v>414.4390243902439</v>
      </c>
      <c r="L7" s="20">
        <f>'Melkstand und Herde'!L7</f>
        <v>621.65853658536582</v>
      </c>
      <c r="M7" s="20">
        <f>'Melkstand und Herde'!M7</f>
        <v>621.65853658536582</v>
      </c>
      <c r="N7" s="20">
        <f>'Melkstand und Herde'!N7</f>
        <v>1036.0975609756097</v>
      </c>
      <c r="O7" s="21">
        <f>'Melkstand und Herde'!O7</f>
        <v>1036.0975609756097</v>
      </c>
    </row>
    <row r="8" spans="1:15" ht="15.75" hidden="1" customHeight="1" x14ac:dyDescent="0.25">
      <c r="A8" s="16" t="s">
        <v>22</v>
      </c>
      <c r="B8" s="17"/>
      <c r="C8" s="20">
        <f>'Melkstand und Herde'!C8</f>
        <v>10000</v>
      </c>
      <c r="D8" s="20">
        <f>'Melkstand und Herde'!D8</f>
        <v>10000</v>
      </c>
      <c r="E8" s="20">
        <f>'Melkstand und Herde'!E8</f>
        <v>10000</v>
      </c>
      <c r="F8" s="20">
        <f>'Melkstand und Herde'!F8</f>
        <v>10000</v>
      </c>
      <c r="G8" s="20">
        <f>'Melkstand und Herde'!G8</f>
        <v>10000</v>
      </c>
      <c r="H8" s="20">
        <f>'Melkstand und Herde'!H8</f>
        <v>10000</v>
      </c>
      <c r="I8" s="20">
        <f>'Melkstand und Herde'!I8</f>
        <v>10000</v>
      </c>
      <c r="J8" s="20">
        <f>'Melkstand und Herde'!J8</f>
        <v>10000</v>
      </c>
      <c r="K8" s="20">
        <f>'Melkstand und Herde'!K8</f>
        <v>10000</v>
      </c>
      <c r="L8" s="20">
        <f>'Melkstand und Herde'!L8</f>
        <v>10000</v>
      </c>
      <c r="M8" s="20">
        <f>'Melkstand und Herde'!M8</f>
        <v>10000</v>
      </c>
      <c r="N8" s="20">
        <f>'Melkstand und Herde'!N8</f>
        <v>10000</v>
      </c>
      <c r="O8" s="21">
        <f>'Melkstand und Herde'!O8</f>
        <v>10000</v>
      </c>
    </row>
    <row r="9" spans="1:15" ht="15.75" hidden="1" customHeight="1" x14ac:dyDescent="0.25">
      <c r="A9" s="16" t="s">
        <v>23</v>
      </c>
      <c r="B9" s="17"/>
      <c r="C9" s="22">
        <f>'Melkstand und Herde'!C10</f>
        <v>31.731290147821372</v>
      </c>
      <c r="D9" s="22">
        <f>'Melkstand und Herde'!D10</f>
        <v>31.731290147821372</v>
      </c>
      <c r="E9" s="22">
        <f>'Melkstand und Herde'!E10</f>
        <v>31.73129014782138</v>
      </c>
      <c r="F9" s="22">
        <f>'Melkstand und Herde'!F10</f>
        <v>31.731290147821372</v>
      </c>
      <c r="G9" s="22">
        <f>'Melkstand und Herde'!G10</f>
        <v>31.731290147821372</v>
      </c>
      <c r="H9" s="22">
        <f>'Melkstand und Herde'!H10</f>
        <v>31.731290147821376</v>
      </c>
      <c r="I9" s="22">
        <f>'Melkstand und Herde'!I10</f>
        <v>31.731290147821372</v>
      </c>
      <c r="J9" s="22">
        <f>'Melkstand und Herde'!J10</f>
        <v>31.731290147821372</v>
      </c>
      <c r="K9" s="22">
        <f>'Melkstand und Herde'!K10</f>
        <v>31.731290147821372</v>
      </c>
      <c r="L9" s="22">
        <f>'Melkstand und Herde'!L10</f>
        <v>31.731290147821376</v>
      </c>
      <c r="M9" s="22">
        <f>'Melkstand und Herde'!M10</f>
        <v>31.731290147821376</v>
      </c>
      <c r="N9" s="22">
        <f>'Melkstand und Herde'!N10</f>
        <v>31.731290147821376</v>
      </c>
      <c r="O9" s="23">
        <f>'Melkstand und Herde'!O10</f>
        <v>31.731290147821376</v>
      </c>
    </row>
    <row r="10" spans="1:15" ht="15.75" hidden="1" customHeight="1" x14ac:dyDescent="0.25">
      <c r="A10" s="16" t="s">
        <v>83</v>
      </c>
      <c r="B10" s="17"/>
      <c r="C10" s="18">
        <f>'Melkstand und Herde'!C12</f>
        <v>2</v>
      </c>
      <c r="D10" s="18">
        <f>'Melkstand und Herde'!D12</f>
        <v>2</v>
      </c>
      <c r="E10" s="18">
        <f>'Melkstand und Herde'!E12</f>
        <v>2</v>
      </c>
      <c r="F10" s="18">
        <f>'Melkstand und Herde'!F12</f>
        <v>2</v>
      </c>
      <c r="G10" s="18">
        <f>'Melkstand und Herde'!G12</f>
        <v>2</v>
      </c>
      <c r="H10" s="18">
        <f>'Melkstand und Herde'!H12</f>
        <v>2</v>
      </c>
      <c r="I10" s="18">
        <f>'Melkstand und Herde'!I12</f>
        <v>2</v>
      </c>
      <c r="J10" s="18">
        <f>'Melkstand und Herde'!J12</f>
        <v>2</v>
      </c>
      <c r="K10" s="18">
        <f>'Melkstand und Herde'!K12</f>
        <v>2</v>
      </c>
      <c r="L10" s="18">
        <f>'Melkstand und Herde'!L12</f>
        <v>2</v>
      </c>
      <c r="M10" s="18">
        <f>'Melkstand und Herde'!M12</f>
        <v>2</v>
      </c>
      <c r="N10" s="18">
        <f>'Melkstand und Herde'!N12</f>
        <v>2</v>
      </c>
      <c r="O10" s="19">
        <f>'Melkstand und Herde'!O12</f>
        <v>2</v>
      </c>
    </row>
    <row r="11" spans="1:15" ht="15.75" hidden="1" customHeight="1" x14ac:dyDescent="0.25">
      <c r="A11" s="16" t="s">
        <v>25</v>
      </c>
      <c r="B11" s="17"/>
      <c r="C11" s="24">
        <f>'Melkstand und Herde'!C13</f>
        <v>15.865645073910686</v>
      </c>
      <c r="D11" s="24">
        <f>'Melkstand und Herde'!D13</f>
        <v>15.865645073910686</v>
      </c>
      <c r="E11" s="24">
        <f>'Melkstand und Herde'!E13</f>
        <v>15.86564507391069</v>
      </c>
      <c r="F11" s="24">
        <f>'Melkstand und Herde'!F13</f>
        <v>15.865645073910686</v>
      </c>
      <c r="G11" s="24">
        <f>'Melkstand und Herde'!G13</f>
        <v>15.865645073910686</v>
      </c>
      <c r="H11" s="24">
        <f>'Melkstand und Herde'!H13</f>
        <v>15.865645073910688</v>
      </c>
      <c r="I11" s="24">
        <f>'Melkstand und Herde'!I13</f>
        <v>15.865645073910686</v>
      </c>
      <c r="J11" s="24">
        <f>'Melkstand und Herde'!J13</f>
        <v>15.865645073910686</v>
      </c>
      <c r="K11" s="24">
        <f>'Melkstand und Herde'!K13</f>
        <v>15.865645073910686</v>
      </c>
      <c r="L11" s="24">
        <f>'Melkstand und Herde'!L13</f>
        <v>15.865645073910688</v>
      </c>
      <c r="M11" s="24">
        <f>'Melkstand und Herde'!M13</f>
        <v>15.865645073910688</v>
      </c>
      <c r="N11" s="24">
        <f>'Melkstand und Herde'!N13</f>
        <v>15.865645073910688</v>
      </c>
      <c r="O11" s="25">
        <f>'Melkstand und Herde'!O13</f>
        <v>15.865645073910688</v>
      </c>
    </row>
    <row r="12" spans="1:15" ht="15.75" hidden="1" customHeight="1" x14ac:dyDescent="0.25">
      <c r="A12" s="16" t="s">
        <v>26</v>
      </c>
      <c r="B12" s="17"/>
      <c r="C12" s="22">
        <f>'Melkstand und Herde'!C14</f>
        <v>2</v>
      </c>
      <c r="D12" s="22">
        <f>'Melkstand und Herde'!D14</f>
        <v>2</v>
      </c>
      <c r="E12" s="22">
        <f>'Melkstand und Herde'!E14</f>
        <v>2</v>
      </c>
      <c r="F12" s="22">
        <f>'Melkstand und Herde'!F14</f>
        <v>2</v>
      </c>
      <c r="G12" s="22">
        <f>'Melkstand und Herde'!G14</f>
        <v>2</v>
      </c>
      <c r="H12" s="22">
        <f>'Melkstand und Herde'!H14</f>
        <v>2</v>
      </c>
      <c r="I12" s="22">
        <f>'Melkstand und Herde'!I14</f>
        <v>2</v>
      </c>
      <c r="J12" s="22">
        <f>'Melkstand und Herde'!J14</f>
        <v>2</v>
      </c>
      <c r="K12" s="22">
        <f>'Melkstand und Herde'!K14</f>
        <v>2</v>
      </c>
      <c r="L12" s="22">
        <f>'Melkstand und Herde'!L14</f>
        <v>2</v>
      </c>
      <c r="M12" s="22">
        <f>'Melkstand und Herde'!M14</f>
        <v>2</v>
      </c>
      <c r="N12" s="22">
        <f>'Melkstand und Herde'!N14</f>
        <v>2</v>
      </c>
      <c r="O12" s="23">
        <f>'Melkstand und Herde'!O14</f>
        <v>2</v>
      </c>
    </row>
    <row r="13" spans="1:15" hidden="1" x14ac:dyDescent="0.25">
      <c r="A13" s="16" t="s">
        <v>27</v>
      </c>
      <c r="B13" s="17"/>
      <c r="C13" s="22">
        <f>'Melkstand und Herde'!C15</f>
        <v>7.9328225369553431</v>
      </c>
      <c r="D13" s="22">
        <f>'Melkstand und Herde'!D15</f>
        <v>7.9328225369553431</v>
      </c>
      <c r="E13" s="22">
        <f>'Melkstand und Herde'!E15</f>
        <v>7.9328225369553449</v>
      </c>
      <c r="F13" s="22">
        <f>'Melkstand und Herde'!F15</f>
        <v>7.9328225369553431</v>
      </c>
      <c r="G13" s="22">
        <f>'Melkstand und Herde'!G15</f>
        <v>7.9328225369553431</v>
      </c>
      <c r="H13" s="22">
        <f>'Melkstand und Herde'!H15</f>
        <v>7.932822536955344</v>
      </c>
      <c r="I13" s="22">
        <f>'Melkstand und Herde'!I15</f>
        <v>7.9328225369553431</v>
      </c>
      <c r="J13" s="22">
        <f>'Melkstand und Herde'!J15</f>
        <v>7.9328225369553431</v>
      </c>
      <c r="K13" s="22">
        <f>'Melkstand und Herde'!K15</f>
        <v>7.9328225369553431</v>
      </c>
      <c r="L13" s="22">
        <f>'Melkstand und Herde'!L15</f>
        <v>7.932822536955344</v>
      </c>
      <c r="M13" s="22">
        <f>'Melkstand und Herde'!M15</f>
        <v>7.932822536955344</v>
      </c>
      <c r="N13" s="22">
        <f>'Melkstand und Herde'!N15</f>
        <v>7.932822536955344</v>
      </c>
      <c r="O13" s="23">
        <f>'Melkstand und Herde'!O15</f>
        <v>7.932822536955344</v>
      </c>
    </row>
    <row r="14" spans="1:15" ht="15" customHeight="1" x14ac:dyDescent="0.25">
      <c r="A14" s="26" t="s">
        <v>206</v>
      </c>
      <c r="B14" s="27"/>
      <c r="C14" s="28">
        <v>16</v>
      </c>
      <c r="D14" s="29">
        <v>5</v>
      </c>
      <c r="E14" s="29">
        <v>6</v>
      </c>
      <c r="F14" s="29">
        <v>7</v>
      </c>
      <c r="G14" s="29">
        <v>8</v>
      </c>
      <c r="H14" s="29">
        <v>10</v>
      </c>
      <c r="I14" s="29">
        <v>12</v>
      </c>
      <c r="J14" s="29">
        <v>14</v>
      </c>
      <c r="K14" s="29">
        <v>16</v>
      </c>
      <c r="L14" s="29">
        <v>20</v>
      </c>
      <c r="M14" s="29">
        <v>24</v>
      </c>
      <c r="N14" s="29">
        <v>30</v>
      </c>
      <c r="O14" s="29">
        <v>40</v>
      </c>
    </row>
    <row r="15" spans="1:15" ht="15" hidden="1" customHeight="1" x14ac:dyDescent="0.25">
      <c r="A15" s="30" t="s">
        <v>75</v>
      </c>
      <c r="B15" s="31"/>
      <c r="C15" s="32">
        <v>0</v>
      </c>
      <c r="D15" s="33">
        <v>0</v>
      </c>
      <c r="E15" s="33">
        <v>0</v>
      </c>
      <c r="F15" s="33">
        <v>0</v>
      </c>
      <c r="G15" s="33">
        <v>0</v>
      </c>
      <c r="H15" s="33">
        <v>0</v>
      </c>
      <c r="I15" s="33">
        <v>0</v>
      </c>
      <c r="J15" s="33">
        <v>0</v>
      </c>
      <c r="K15" s="33">
        <v>0</v>
      </c>
      <c r="L15" s="33">
        <v>0</v>
      </c>
      <c r="M15" s="33">
        <v>0</v>
      </c>
      <c r="N15" s="33">
        <v>0</v>
      </c>
      <c r="O15" s="33">
        <v>0</v>
      </c>
    </row>
    <row r="16" spans="1:15" ht="15" customHeight="1" x14ac:dyDescent="0.25">
      <c r="A16" s="30" t="s">
        <v>207</v>
      </c>
      <c r="B16" s="31"/>
      <c r="C16" s="32">
        <v>2</v>
      </c>
      <c r="D16" s="33">
        <v>2</v>
      </c>
      <c r="E16" s="33">
        <v>2</v>
      </c>
      <c r="F16" s="33">
        <v>2</v>
      </c>
      <c r="G16" s="33">
        <v>2</v>
      </c>
      <c r="H16" s="33">
        <v>2</v>
      </c>
      <c r="I16" s="33">
        <v>2</v>
      </c>
      <c r="J16" s="33">
        <v>2</v>
      </c>
      <c r="K16" s="33">
        <v>2</v>
      </c>
      <c r="L16" s="33">
        <v>2</v>
      </c>
      <c r="M16" s="33">
        <v>2</v>
      </c>
      <c r="N16" s="33">
        <v>2</v>
      </c>
      <c r="O16" s="33">
        <v>2</v>
      </c>
    </row>
    <row r="17" spans="1:25" ht="15" customHeight="1" x14ac:dyDescent="0.25">
      <c r="A17" s="34" t="s">
        <v>28</v>
      </c>
      <c r="B17" s="35"/>
      <c r="C17" s="36">
        <v>1.5</v>
      </c>
      <c r="D17" s="37">
        <v>1</v>
      </c>
      <c r="E17" s="37">
        <v>1</v>
      </c>
      <c r="F17" s="37">
        <v>1</v>
      </c>
      <c r="G17" s="37">
        <v>1</v>
      </c>
      <c r="H17" s="37">
        <v>1</v>
      </c>
      <c r="I17" s="37">
        <v>1</v>
      </c>
      <c r="J17" s="37">
        <v>1.5</v>
      </c>
      <c r="K17" s="37">
        <v>1.5</v>
      </c>
      <c r="L17" s="37">
        <v>2</v>
      </c>
      <c r="M17" s="37">
        <v>2</v>
      </c>
      <c r="N17" s="37">
        <v>3</v>
      </c>
      <c r="O17" s="37">
        <v>3</v>
      </c>
    </row>
    <row r="18" spans="1:25" s="38" customFormat="1" ht="9" customHeight="1" x14ac:dyDescent="0.25">
      <c r="B18" s="39"/>
    </row>
    <row r="19" spans="1:25" ht="18" customHeight="1" x14ac:dyDescent="0.25">
      <c r="A19" s="40" t="s">
        <v>71</v>
      </c>
      <c r="B19" s="41"/>
      <c r="C19" s="42"/>
      <c r="D19" s="42"/>
      <c r="E19" s="42"/>
      <c r="F19" s="42"/>
      <c r="G19" s="42"/>
      <c r="H19" s="42"/>
      <c r="I19" s="42"/>
      <c r="J19" s="42"/>
      <c r="K19" s="42"/>
      <c r="L19" s="42"/>
      <c r="M19" s="42"/>
      <c r="N19" s="42"/>
      <c r="O19" s="43"/>
      <c r="P19" s="44"/>
      <c r="Q19" s="45"/>
    </row>
    <row r="20" spans="1:25" ht="18" customHeight="1" x14ac:dyDescent="0.25">
      <c r="A20" s="46" t="s">
        <v>177</v>
      </c>
      <c r="B20" s="47"/>
      <c r="C20" s="48"/>
      <c r="D20" s="48"/>
      <c r="E20" s="48"/>
      <c r="F20" s="48"/>
      <c r="G20" s="48"/>
      <c r="H20" s="48"/>
      <c r="I20" s="48"/>
      <c r="J20" s="48"/>
      <c r="K20" s="48"/>
      <c r="L20" s="48"/>
      <c r="M20" s="48"/>
      <c r="N20" s="48"/>
      <c r="O20" s="49"/>
      <c r="P20" s="44"/>
      <c r="Q20" s="45"/>
    </row>
    <row r="21" spans="1:25" ht="15" customHeight="1" x14ac:dyDescent="0.25">
      <c r="A21" s="50" t="s">
        <v>30</v>
      </c>
      <c r="B21" s="51" t="s">
        <v>68</v>
      </c>
      <c r="C21" s="52">
        <v>0.08</v>
      </c>
      <c r="D21" s="53">
        <v>0.1</v>
      </c>
      <c r="E21" s="53">
        <v>0.1</v>
      </c>
      <c r="F21" s="53">
        <v>0.1</v>
      </c>
      <c r="G21" s="53">
        <v>0.1</v>
      </c>
      <c r="H21" s="53">
        <v>0.08</v>
      </c>
      <c r="I21" s="53">
        <v>0.08</v>
      </c>
      <c r="J21" s="53">
        <v>0.08</v>
      </c>
      <c r="K21" s="53">
        <v>0.08</v>
      </c>
      <c r="L21" s="53">
        <v>0.08</v>
      </c>
      <c r="M21" s="53">
        <v>0.08</v>
      </c>
      <c r="N21" s="53">
        <v>0.08</v>
      </c>
      <c r="O21" s="53">
        <v>0.08</v>
      </c>
    </row>
    <row r="22" spans="1:25" ht="15" customHeight="1" x14ac:dyDescent="0.25">
      <c r="A22" s="54" t="s">
        <v>31</v>
      </c>
      <c r="B22" s="55" t="s">
        <v>68</v>
      </c>
      <c r="C22" s="56">
        <v>0.1</v>
      </c>
      <c r="D22" s="57">
        <v>0.1</v>
      </c>
      <c r="E22" s="57">
        <v>0.1</v>
      </c>
      <c r="F22" s="57">
        <v>0.1</v>
      </c>
      <c r="G22" s="57">
        <v>0.1</v>
      </c>
      <c r="H22" s="57">
        <v>0.1</v>
      </c>
      <c r="I22" s="57">
        <v>0.1</v>
      </c>
      <c r="J22" s="57">
        <v>0.1</v>
      </c>
      <c r="K22" s="57">
        <v>0.1</v>
      </c>
      <c r="L22" s="57">
        <v>0.1</v>
      </c>
      <c r="M22" s="57">
        <v>0.1</v>
      </c>
      <c r="N22" s="57">
        <v>0.1</v>
      </c>
      <c r="O22" s="57">
        <v>0.1</v>
      </c>
    </row>
    <row r="23" spans="1:25" ht="15" customHeight="1" x14ac:dyDescent="0.25">
      <c r="A23" s="54" t="s">
        <v>32</v>
      </c>
      <c r="B23" s="55" t="s">
        <v>68</v>
      </c>
      <c r="C23" s="56">
        <v>0.09</v>
      </c>
      <c r="D23" s="57">
        <v>0.09</v>
      </c>
      <c r="E23" s="57">
        <v>0.09</v>
      </c>
      <c r="F23" s="57">
        <v>0.09</v>
      </c>
      <c r="G23" s="57">
        <v>0.09</v>
      </c>
      <c r="H23" s="57">
        <v>0.09</v>
      </c>
      <c r="I23" s="57">
        <v>0.09</v>
      </c>
      <c r="J23" s="57">
        <v>0.09</v>
      </c>
      <c r="K23" s="57">
        <v>0.09</v>
      </c>
      <c r="L23" s="57">
        <v>0.09</v>
      </c>
      <c r="M23" s="57">
        <v>0.09</v>
      </c>
      <c r="N23" s="57">
        <v>0.09</v>
      </c>
      <c r="O23" s="57">
        <v>0.09</v>
      </c>
    </row>
    <row r="24" spans="1:25" ht="15" customHeight="1" x14ac:dyDescent="0.25">
      <c r="A24" s="54" t="s">
        <v>33</v>
      </c>
      <c r="B24" s="55" t="s">
        <v>68</v>
      </c>
      <c r="C24" s="56">
        <v>0.18</v>
      </c>
      <c r="D24" s="57">
        <v>0.18</v>
      </c>
      <c r="E24" s="57">
        <v>0.18</v>
      </c>
      <c r="F24" s="57">
        <v>0.18</v>
      </c>
      <c r="G24" s="57">
        <v>0.18</v>
      </c>
      <c r="H24" s="57">
        <v>0.18</v>
      </c>
      <c r="I24" s="57">
        <v>0.18</v>
      </c>
      <c r="J24" s="57">
        <v>0.18</v>
      </c>
      <c r="K24" s="57">
        <v>0.18</v>
      </c>
      <c r="L24" s="57">
        <v>0.18</v>
      </c>
      <c r="M24" s="57">
        <v>0.18</v>
      </c>
      <c r="N24" s="57">
        <v>0.18</v>
      </c>
      <c r="O24" s="57">
        <v>0.18</v>
      </c>
    </row>
    <row r="25" spans="1:25" ht="15" customHeight="1" x14ac:dyDescent="0.25">
      <c r="A25" s="54" t="s">
        <v>34</v>
      </c>
      <c r="B25" s="55" t="s">
        <v>68</v>
      </c>
      <c r="C25" s="56">
        <v>0.1</v>
      </c>
      <c r="D25" s="57">
        <v>0.1</v>
      </c>
      <c r="E25" s="57">
        <v>0.1</v>
      </c>
      <c r="F25" s="57">
        <v>0.1</v>
      </c>
      <c r="G25" s="57">
        <v>0.1</v>
      </c>
      <c r="H25" s="57">
        <v>0.1</v>
      </c>
      <c r="I25" s="57">
        <v>0.1</v>
      </c>
      <c r="J25" s="57">
        <v>0.1</v>
      </c>
      <c r="K25" s="57">
        <v>0.1</v>
      </c>
      <c r="L25" s="57">
        <v>0.1</v>
      </c>
      <c r="M25" s="57">
        <v>0.1</v>
      </c>
      <c r="N25" s="57">
        <v>0.1</v>
      </c>
      <c r="O25" s="57">
        <v>0.1</v>
      </c>
    </row>
    <row r="26" spans="1:25" ht="15" customHeight="1" x14ac:dyDescent="0.25">
      <c r="A26" s="54" t="s">
        <v>138</v>
      </c>
      <c r="B26" s="55" t="s">
        <v>68</v>
      </c>
      <c r="C26" s="56">
        <v>7.0000000000000007E-2</v>
      </c>
      <c r="D26" s="57">
        <v>0.2</v>
      </c>
      <c r="E26" s="57">
        <v>0.2</v>
      </c>
      <c r="F26" s="57">
        <v>0.2</v>
      </c>
      <c r="G26" s="57">
        <v>0.2</v>
      </c>
      <c r="H26" s="57">
        <v>0.1</v>
      </c>
      <c r="I26" s="57">
        <v>0.09</v>
      </c>
      <c r="J26" s="57">
        <v>0.08</v>
      </c>
      <c r="K26" s="57">
        <v>7.0000000000000007E-2</v>
      </c>
      <c r="L26" s="57">
        <v>0.06</v>
      </c>
      <c r="M26" s="57">
        <v>0.05</v>
      </c>
      <c r="N26" s="57">
        <v>0.04</v>
      </c>
      <c r="O26" s="57">
        <v>0.03</v>
      </c>
    </row>
    <row r="27" spans="1:25" ht="15" customHeight="1" x14ac:dyDescent="0.25">
      <c r="A27" s="54" t="s">
        <v>213</v>
      </c>
      <c r="B27" s="55" t="s">
        <v>68</v>
      </c>
      <c r="C27" s="56">
        <v>0.17</v>
      </c>
      <c r="D27" s="57">
        <v>0.25</v>
      </c>
      <c r="E27" s="57">
        <v>0.24</v>
      </c>
      <c r="F27" s="57">
        <v>0.23</v>
      </c>
      <c r="G27" s="57">
        <v>0.22</v>
      </c>
      <c r="H27" s="57">
        <v>0.22</v>
      </c>
      <c r="I27" s="57">
        <v>0.21</v>
      </c>
      <c r="J27" s="57">
        <v>0.2</v>
      </c>
      <c r="K27" s="57">
        <v>0.17</v>
      </c>
      <c r="L27" s="57">
        <v>0.15</v>
      </c>
      <c r="M27" s="57">
        <v>0.14000000000000001</v>
      </c>
      <c r="N27" s="57">
        <v>0.13</v>
      </c>
      <c r="O27" s="57">
        <v>0.12</v>
      </c>
    </row>
    <row r="28" spans="1:25" ht="15" customHeight="1" x14ac:dyDescent="0.25">
      <c r="A28" s="58" t="s">
        <v>74</v>
      </c>
      <c r="B28" s="59" t="s">
        <v>68</v>
      </c>
      <c r="C28" s="60">
        <f>SUM(C21:C27)</f>
        <v>0.79000000000000015</v>
      </c>
      <c r="D28" s="61">
        <f>SUM(D21:D27)</f>
        <v>1.02</v>
      </c>
      <c r="E28" s="61">
        <f t="shared" ref="E28:O28" si="0">SUM(E21:E27)</f>
        <v>1.01</v>
      </c>
      <c r="F28" s="61">
        <f t="shared" si="0"/>
        <v>1</v>
      </c>
      <c r="G28" s="61">
        <f t="shared" si="0"/>
        <v>0.99</v>
      </c>
      <c r="H28" s="61">
        <f t="shared" si="0"/>
        <v>0.87</v>
      </c>
      <c r="I28" s="61">
        <f t="shared" si="0"/>
        <v>0.85</v>
      </c>
      <c r="J28" s="61">
        <f t="shared" si="0"/>
        <v>0.83000000000000007</v>
      </c>
      <c r="K28" s="61">
        <f t="shared" si="0"/>
        <v>0.79000000000000015</v>
      </c>
      <c r="L28" s="61">
        <f t="shared" si="0"/>
        <v>0.76000000000000012</v>
      </c>
      <c r="M28" s="61">
        <f t="shared" si="0"/>
        <v>0.7400000000000001</v>
      </c>
      <c r="N28" s="61">
        <f t="shared" si="0"/>
        <v>0.72000000000000008</v>
      </c>
      <c r="O28" s="61">
        <f t="shared" si="0"/>
        <v>0.70000000000000007</v>
      </c>
    </row>
    <row r="29" spans="1:25" ht="18" customHeight="1" x14ac:dyDescent="0.25">
      <c r="A29" s="46" t="s">
        <v>178</v>
      </c>
      <c r="B29" s="47"/>
      <c r="C29" s="48"/>
      <c r="D29" s="48"/>
      <c r="E29" s="48"/>
      <c r="F29" s="48"/>
      <c r="G29" s="48"/>
      <c r="H29" s="48"/>
      <c r="I29" s="48"/>
      <c r="J29" s="48"/>
      <c r="K29" s="48"/>
      <c r="L29" s="48"/>
      <c r="M29" s="48"/>
      <c r="N29" s="48"/>
      <c r="O29" s="49"/>
      <c r="P29" s="44"/>
      <c r="Q29" s="45"/>
    </row>
    <row r="30" spans="1:25" ht="15" customHeight="1" x14ac:dyDescent="0.25">
      <c r="A30" s="62" t="s">
        <v>30</v>
      </c>
      <c r="B30" s="63" t="s">
        <v>29</v>
      </c>
      <c r="C30" s="64">
        <f>C21*C$14</f>
        <v>1.28</v>
      </c>
      <c r="D30" s="65">
        <f>D21*D$14</f>
        <v>0.5</v>
      </c>
      <c r="E30" s="65">
        <f>E21*E$14</f>
        <v>0.60000000000000009</v>
      </c>
      <c r="F30" s="65">
        <f t="shared" ref="F30:O30" si="1">F21*F$14</f>
        <v>0.70000000000000007</v>
      </c>
      <c r="G30" s="65">
        <f t="shared" si="1"/>
        <v>0.8</v>
      </c>
      <c r="H30" s="65">
        <f t="shared" si="1"/>
        <v>0.8</v>
      </c>
      <c r="I30" s="65">
        <f t="shared" si="1"/>
        <v>0.96</v>
      </c>
      <c r="J30" s="65">
        <f t="shared" si="1"/>
        <v>1.1200000000000001</v>
      </c>
      <c r="K30" s="65">
        <f t="shared" si="1"/>
        <v>1.28</v>
      </c>
      <c r="L30" s="65">
        <f t="shared" si="1"/>
        <v>1.6</v>
      </c>
      <c r="M30" s="65">
        <f t="shared" si="1"/>
        <v>1.92</v>
      </c>
      <c r="N30" s="65">
        <f t="shared" si="1"/>
        <v>2.4</v>
      </c>
      <c r="O30" s="65">
        <f t="shared" si="1"/>
        <v>3.2</v>
      </c>
    </row>
    <row r="31" spans="1:25" ht="15" customHeight="1" x14ac:dyDescent="0.25">
      <c r="A31" s="66" t="s">
        <v>31</v>
      </c>
      <c r="B31" s="67" t="s">
        <v>29</v>
      </c>
      <c r="C31" s="68">
        <f t="shared" ref="C31:D36" si="2">C22*C$14</f>
        <v>1.6</v>
      </c>
      <c r="D31" s="69">
        <f t="shared" si="2"/>
        <v>0.5</v>
      </c>
      <c r="E31" s="69">
        <f t="shared" ref="E31:E36" si="3">E22*E$14</f>
        <v>0.60000000000000009</v>
      </c>
      <c r="F31" s="69">
        <f t="shared" ref="F31:O31" si="4">F22*F$14</f>
        <v>0.70000000000000007</v>
      </c>
      <c r="G31" s="69">
        <f t="shared" si="4"/>
        <v>0.8</v>
      </c>
      <c r="H31" s="69">
        <f t="shared" si="4"/>
        <v>1</v>
      </c>
      <c r="I31" s="69">
        <f t="shared" si="4"/>
        <v>1.2000000000000002</v>
      </c>
      <c r="J31" s="69">
        <f t="shared" si="4"/>
        <v>1.4000000000000001</v>
      </c>
      <c r="K31" s="69">
        <f t="shared" si="4"/>
        <v>1.6</v>
      </c>
      <c r="L31" s="69">
        <f t="shared" si="4"/>
        <v>2</v>
      </c>
      <c r="M31" s="69">
        <f t="shared" si="4"/>
        <v>2.4000000000000004</v>
      </c>
      <c r="N31" s="69">
        <f t="shared" si="4"/>
        <v>3</v>
      </c>
      <c r="O31" s="69">
        <f t="shared" si="4"/>
        <v>4</v>
      </c>
      <c r="P31" s="70"/>
      <c r="Q31" s="70"/>
      <c r="R31" s="70"/>
      <c r="S31" s="70"/>
      <c r="T31" s="70"/>
      <c r="U31" s="70"/>
      <c r="V31" s="70"/>
      <c r="W31" s="70"/>
      <c r="X31" s="70"/>
      <c r="Y31" s="70"/>
    </row>
    <row r="32" spans="1:25" ht="15" customHeight="1" x14ac:dyDescent="0.25">
      <c r="A32" s="66" t="s">
        <v>32</v>
      </c>
      <c r="B32" s="67" t="s">
        <v>29</v>
      </c>
      <c r="C32" s="68">
        <f t="shared" si="2"/>
        <v>1.44</v>
      </c>
      <c r="D32" s="69">
        <f t="shared" si="2"/>
        <v>0.44999999999999996</v>
      </c>
      <c r="E32" s="69">
        <f t="shared" si="3"/>
        <v>0.54</v>
      </c>
      <c r="F32" s="69">
        <f t="shared" ref="F32:O32" si="5">F23*F$14</f>
        <v>0.63</v>
      </c>
      <c r="G32" s="69">
        <f t="shared" si="5"/>
        <v>0.72</v>
      </c>
      <c r="H32" s="69">
        <f t="shared" si="5"/>
        <v>0.89999999999999991</v>
      </c>
      <c r="I32" s="69">
        <f t="shared" si="5"/>
        <v>1.08</v>
      </c>
      <c r="J32" s="69">
        <f t="shared" si="5"/>
        <v>1.26</v>
      </c>
      <c r="K32" s="69">
        <f t="shared" si="5"/>
        <v>1.44</v>
      </c>
      <c r="L32" s="69">
        <f t="shared" si="5"/>
        <v>1.7999999999999998</v>
      </c>
      <c r="M32" s="69">
        <f t="shared" si="5"/>
        <v>2.16</v>
      </c>
      <c r="N32" s="69">
        <f t="shared" si="5"/>
        <v>2.6999999999999997</v>
      </c>
      <c r="O32" s="69">
        <f t="shared" si="5"/>
        <v>3.5999999999999996</v>
      </c>
      <c r="P32" s="70"/>
      <c r="Q32" s="70"/>
      <c r="R32" s="70"/>
      <c r="S32" s="70"/>
      <c r="T32" s="70"/>
      <c r="U32" s="70"/>
      <c r="V32" s="70"/>
      <c r="W32" s="70"/>
      <c r="X32" s="70"/>
      <c r="Y32" s="70"/>
    </row>
    <row r="33" spans="1:43" ht="15" customHeight="1" x14ac:dyDescent="0.25">
      <c r="A33" s="66" t="s">
        <v>33</v>
      </c>
      <c r="B33" s="67" t="s">
        <v>29</v>
      </c>
      <c r="C33" s="68">
        <f t="shared" si="2"/>
        <v>2.88</v>
      </c>
      <c r="D33" s="69">
        <f t="shared" si="2"/>
        <v>0.89999999999999991</v>
      </c>
      <c r="E33" s="69">
        <f t="shared" si="3"/>
        <v>1.08</v>
      </c>
      <c r="F33" s="69">
        <f t="shared" ref="F33:O33" si="6">F24*F$14</f>
        <v>1.26</v>
      </c>
      <c r="G33" s="69">
        <f t="shared" si="6"/>
        <v>1.44</v>
      </c>
      <c r="H33" s="69">
        <f t="shared" si="6"/>
        <v>1.7999999999999998</v>
      </c>
      <c r="I33" s="69">
        <f t="shared" si="6"/>
        <v>2.16</v>
      </c>
      <c r="J33" s="69">
        <f t="shared" si="6"/>
        <v>2.52</v>
      </c>
      <c r="K33" s="69">
        <f t="shared" si="6"/>
        <v>2.88</v>
      </c>
      <c r="L33" s="69">
        <f t="shared" si="6"/>
        <v>3.5999999999999996</v>
      </c>
      <c r="M33" s="69">
        <f t="shared" si="6"/>
        <v>4.32</v>
      </c>
      <c r="N33" s="69">
        <f t="shared" si="6"/>
        <v>5.3999999999999995</v>
      </c>
      <c r="O33" s="69">
        <f t="shared" si="6"/>
        <v>7.1999999999999993</v>
      </c>
      <c r="Q33" s="70"/>
      <c r="R33" s="70"/>
      <c r="S33" s="70"/>
      <c r="T33" s="70"/>
      <c r="U33" s="70"/>
      <c r="V33" s="70"/>
      <c r="W33" s="70"/>
      <c r="X33" s="70"/>
      <c r="Y33" s="70"/>
    </row>
    <row r="34" spans="1:43" ht="15" customHeight="1" x14ac:dyDescent="0.25">
      <c r="A34" s="66" t="s">
        <v>34</v>
      </c>
      <c r="B34" s="67" t="s">
        <v>29</v>
      </c>
      <c r="C34" s="68">
        <f t="shared" si="2"/>
        <v>1.6</v>
      </c>
      <c r="D34" s="69">
        <f t="shared" si="2"/>
        <v>0.5</v>
      </c>
      <c r="E34" s="69">
        <f t="shared" si="3"/>
        <v>0.60000000000000009</v>
      </c>
      <c r="F34" s="69">
        <f t="shared" ref="F34:O34" si="7">F25*F$14</f>
        <v>0.70000000000000007</v>
      </c>
      <c r="G34" s="69">
        <f t="shared" si="7"/>
        <v>0.8</v>
      </c>
      <c r="H34" s="69">
        <f t="shared" si="7"/>
        <v>1</v>
      </c>
      <c r="I34" s="69">
        <f t="shared" si="7"/>
        <v>1.2000000000000002</v>
      </c>
      <c r="J34" s="69">
        <f t="shared" si="7"/>
        <v>1.4000000000000001</v>
      </c>
      <c r="K34" s="69">
        <f t="shared" si="7"/>
        <v>1.6</v>
      </c>
      <c r="L34" s="69">
        <f t="shared" si="7"/>
        <v>2</v>
      </c>
      <c r="M34" s="69">
        <f t="shared" si="7"/>
        <v>2.4000000000000004</v>
      </c>
      <c r="N34" s="69">
        <f t="shared" si="7"/>
        <v>3</v>
      </c>
      <c r="O34" s="69">
        <f t="shared" si="7"/>
        <v>4</v>
      </c>
      <c r="Q34" s="70"/>
      <c r="R34" s="70"/>
      <c r="S34" s="70"/>
      <c r="T34" s="70"/>
      <c r="U34" s="70"/>
      <c r="V34" s="70"/>
      <c r="W34" s="70"/>
      <c r="X34" s="70"/>
      <c r="Y34" s="70"/>
    </row>
    <row r="35" spans="1:43" ht="15" customHeight="1" x14ac:dyDescent="0.25">
      <c r="A35" s="66" t="s">
        <v>35</v>
      </c>
      <c r="B35" s="67" t="s">
        <v>29</v>
      </c>
      <c r="C35" s="68">
        <f t="shared" si="2"/>
        <v>1.1200000000000001</v>
      </c>
      <c r="D35" s="69">
        <f t="shared" si="2"/>
        <v>1</v>
      </c>
      <c r="E35" s="69">
        <f t="shared" si="3"/>
        <v>1.2000000000000002</v>
      </c>
      <c r="F35" s="69">
        <f t="shared" ref="F35:O35" si="8">F26*F$14</f>
        <v>1.4000000000000001</v>
      </c>
      <c r="G35" s="69">
        <f t="shared" si="8"/>
        <v>1.6</v>
      </c>
      <c r="H35" s="69">
        <f t="shared" si="8"/>
        <v>1</v>
      </c>
      <c r="I35" s="69">
        <f t="shared" si="8"/>
        <v>1.08</v>
      </c>
      <c r="J35" s="69">
        <f t="shared" si="8"/>
        <v>1.1200000000000001</v>
      </c>
      <c r="K35" s="69">
        <f t="shared" si="8"/>
        <v>1.1200000000000001</v>
      </c>
      <c r="L35" s="69">
        <f t="shared" si="8"/>
        <v>1.2</v>
      </c>
      <c r="M35" s="69">
        <f t="shared" si="8"/>
        <v>1.2000000000000002</v>
      </c>
      <c r="N35" s="69">
        <f t="shared" si="8"/>
        <v>1.2</v>
      </c>
      <c r="O35" s="69">
        <f t="shared" si="8"/>
        <v>1.2</v>
      </c>
      <c r="P35" s="70"/>
      <c r="Q35" s="70"/>
      <c r="R35" s="70"/>
      <c r="S35" s="70"/>
      <c r="T35" s="70"/>
      <c r="U35" s="70"/>
      <c r="V35" s="70"/>
      <c r="W35" s="70"/>
      <c r="X35" s="70"/>
      <c r="Y35" s="70"/>
    </row>
    <row r="36" spans="1:43" ht="15" customHeight="1" x14ac:dyDescent="0.25">
      <c r="A36" s="71" t="s">
        <v>213</v>
      </c>
      <c r="B36" s="72" t="s">
        <v>29</v>
      </c>
      <c r="C36" s="73">
        <f t="shared" si="2"/>
        <v>2.72</v>
      </c>
      <c r="D36" s="74">
        <f t="shared" si="2"/>
        <v>1.25</v>
      </c>
      <c r="E36" s="74">
        <f t="shared" si="3"/>
        <v>1.44</v>
      </c>
      <c r="F36" s="74">
        <f t="shared" ref="F36:O36" si="9">F27*F$14</f>
        <v>1.61</v>
      </c>
      <c r="G36" s="74">
        <f t="shared" si="9"/>
        <v>1.76</v>
      </c>
      <c r="H36" s="74">
        <f t="shared" si="9"/>
        <v>2.2000000000000002</v>
      </c>
      <c r="I36" s="74">
        <f t="shared" si="9"/>
        <v>2.52</v>
      </c>
      <c r="J36" s="74">
        <f t="shared" si="9"/>
        <v>2.8000000000000003</v>
      </c>
      <c r="K36" s="74">
        <f t="shared" si="9"/>
        <v>2.72</v>
      </c>
      <c r="L36" s="74">
        <f t="shared" si="9"/>
        <v>3</v>
      </c>
      <c r="M36" s="74">
        <f t="shared" si="9"/>
        <v>3.3600000000000003</v>
      </c>
      <c r="N36" s="74">
        <f t="shared" si="9"/>
        <v>3.9000000000000004</v>
      </c>
      <c r="O36" s="74">
        <f t="shared" si="9"/>
        <v>4.8</v>
      </c>
      <c r="P36" s="70"/>
      <c r="Q36" s="70"/>
      <c r="R36" s="70"/>
      <c r="S36" s="70"/>
      <c r="T36" s="70"/>
      <c r="U36" s="70"/>
      <c r="V36" s="70"/>
      <c r="W36" s="70"/>
      <c r="X36" s="70"/>
      <c r="Y36" s="70"/>
    </row>
    <row r="37" spans="1:43" ht="15" customHeight="1" x14ac:dyDescent="0.25">
      <c r="A37" s="75" t="s">
        <v>36</v>
      </c>
      <c r="B37" s="76" t="s">
        <v>29</v>
      </c>
      <c r="C37" s="77">
        <f t="shared" ref="C37" si="10">SUM(C30:C36)</f>
        <v>12.640000000000002</v>
      </c>
      <c r="D37" s="78">
        <f t="shared" ref="D37:E37" si="11">SUM(D30:D36)</f>
        <v>5.0999999999999996</v>
      </c>
      <c r="E37" s="78">
        <f t="shared" si="11"/>
        <v>6.0600000000000005</v>
      </c>
      <c r="F37" s="78">
        <f t="shared" ref="F37:O37" si="12">SUM(F30:F36)</f>
        <v>7.0000000000000009</v>
      </c>
      <c r="G37" s="78">
        <f t="shared" si="12"/>
        <v>7.92</v>
      </c>
      <c r="H37" s="78">
        <f t="shared" si="12"/>
        <v>8.6999999999999993</v>
      </c>
      <c r="I37" s="78">
        <f t="shared" si="12"/>
        <v>10.200000000000001</v>
      </c>
      <c r="J37" s="78">
        <f t="shared" si="12"/>
        <v>11.620000000000001</v>
      </c>
      <c r="K37" s="78">
        <f t="shared" si="12"/>
        <v>12.640000000000002</v>
      </c>
      <c r="L37" s="78">
        <f t="shared" si="12"/>
        <v>15.2</v>
      </c>
      <c r="M37" s="78">
        <f t="shared" si="12"/>
        <v>17.760000000000002</v>
      </c>
      <c r="N37" s="78">
        <f t="shared" si="12"/>
        <v>21.6</v>
      </c>
      <c r="O37" s="78">
        <f t="shared" si="12"/>
        <v>28</v>
      </c>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row>
    <row r="38" spans="1:43" s="38" customFormat="1" ht="9.75" customHeight="1" x14ac:dyDescent="0.25">
      <c r="B38" s="39"/>
    </row>
    <row r="39" spans="1:43" ht="18" customHeight="1" x14ac:dyDescent="0.25">
      <c r="A39" s="46" t="s">
        <v>37</v>
      </c>
      <c r="B39" s="47"/>
      <c r="C39" s="48"/>
      <c r="D39" s="48"/>
      <c r="E39" s="48"/>
      <c r="F39" s="48"/>
      <c r="G39" s="48"/>
      <c r="H39" s="48"/>
      <c r="I39" s="48"/>
      <c r="J39" s="48"/>
      <c r="K39" s="48"/>
      <c r="L39" s="48"/>
      <c r="M39" s="48"/>
      <c r="N39" s="48"/>
      <c r="O39" s="49"/>
      <c r="P39" s="44"/>
      <c r="Q39" s="45"/>
    </row>
    <row r="40" spans="1:43" ht="15" hidden="1" customHeight="1" x14ac:dyDescent="0.25">
      <c r="A40" s="80" t="s">
        <v>77</v>
      </c>
      <c r="B40" s="63" t="s">
        <v>55</v>
      </c>
      <c r="C40" s="81">
        <f t="shared" ref="C40:O40" si="13">((C14-C15)/C17-1)*(C22+C23+C24+C27)</f>
        <v>5.22</v>
      </c>
      <c r="D40" s="65">
        <f t="shared" si="13"/>
        <v>2.48</v>
      </c>
      <c r="E40" s="65">
        <f t="shared" si="13"/>
        <v>3.05</v>
      </c>
      <c r="F40" s="65">
        <f t="shared" si="13"/>
        <v>3.5999999999999996</v>
      </c>
      <c r="G40" s="65">
        <f t="shared" si="13"/>
        <v>4.13</v>
      </c>
      <c r="H40" s="65">
        <f t="shared" si="13"/>
        <v>5.31</v>
      </c>
      <c r="I40" s="65">
        <f t="shared" si="13"/>
        <v>6.38</v>
      </c>
      <c r="J40" s="65">
        <f t="shared" si="13"/>
        <v>4.7500000000000009</v>
      </c>
      <c r="K40" s="65">
        <f t="shared" si="13"/>
        <v>5.22</v>
      </c>
      <c r="L40" s="65">
        <f t="shared" si="13"/>
        <v>4.68</v>
      </c>
      <c r="M40" s="65">
        <f t="shared" si="13"/>
        <v>5.61</v>
      </c>
      <c r="N40" s="65">
        <f t="shared" si="13"/>
        <v>4.5</v>
      </c>
      <c r="O40" s="65">
        <f t="shared" si="13"/>
        <v>6.0433333333333339</v>
      </c>
      <c r="P40" s="82"/>
      <c r="Q40" s="82"/>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row>
    <row r="41" spans="1:43" ht="15" hidden="1" customHeight="1" x14ac:dyDescent="0.25">
      <c r="A41" s="83" t="s">
        <v>218</v>
      </c>
      <c r="B41" s="67" t="s">
        <v>55</v>
      </c>
      <c r="C41" s="84">
        <f t="shared" ref="C41:O41" si="14">IF(C16=1,0,C28*C14/C17)</f>
        <v>8.4266666666666676</v>
      </c>
      <c r="D41" s="69">
        <f t="shared" si="14"/>
        <v>5.0999999999999996</v>
      </c>
      <c r="E41" s="69">
        <f t="shared" si="14"/>
        <v>6.0600000000000005</v>
      </c>
      <c r="F41" s="69">
        <f t="shared" si="14"/>
        <v>7</v>
      </c>
      <c r="G41" s="69">
        <f t="shared" si="14"/>
        <v>7.92</v>
      </c>
      <c r="H41" s="69">
        <f t="shared" si="14"/>
        <v>8.6999999999999993</v>
      </c>
      <c r="I41" s="69">
        <f t="shared" si="14"/>
        <v>10.199999999999999</v>
      </c>
      <c r="J41" s="69">
        <f t="shared" si="14"/>
        <v>7.746666666666667</v>
      </c>
      <c r="K41" s="69">
        <f t="shared" si="14"/>
        <v>8.4266666666666676</v>
      </c>
      <c r="L41" s="69">
        <f t="shared" si="14"/>
        <v>7.6000000000000014</v>
      </c>
      <c r="M41" s="69">
        <f t="shared" si="14"/>
        <v>8.8800000000000008</v>
      </c>
      <c r="N41" s="69">
        <f t="shared" si="14"/>
        <v>7.2</v>
      </c>
      <c r="O41" s="69">
        <f t="shared" si="14"/>
        <v>9.3333333333333339</v>
      </c>
      <c r="P41" s="82"/>
      <c r="Q41" s="82"/>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row>
    <row r="42" spans="1:43" ht="15" customHeight="1" x14ac:dyDescent="0.25">
      <c r="A42" s="83" t="s">
        <v>76</v>
      </c>
      <c r="B42" s="67" t="s">
        <v>55</v>
      </c>
      <c r="C42" s="84">
        <f t="shared" ref="C42:D42" si="15">C41+C40</f>
        <v>13.646666666666668</v>
      </c>
      <c r="D42" s="69">
        <f t="shared" si="15"/>
        <v>7.58</v>
      </c>
      <c r="E42" s="69">
        <f t="shared" ref="E42:F42" si="16">E41+E40</f>
        <v>9.11</v>
      </c>
      <c r="F42" s="69">
        <f t="shared" si="16"/>
        <v>10.6</v>
      </c>
      <c r="G42" s="69">
        <f t="shared" ref="G42:O42" si="17">G41+G40</f>
        <v>12.05</v>
      </c>
      <c r="H42" s="69">
        <f t="shared" si="17"/>
        <v>14.009999999999998</v>
      </c>
      <c r="I42" s="69">
        <f t="shared" si="17"/>
        <v>16.579999999999998</v>
      </c>
      <c r="J42" s="69">
        <f t="shared" si="17"/>
        <v>12.496666666666668</v>
      </c>
      <c r="K42" s="69">
        <f t="shared" si="17"/>
        <v>13.646666666666668</v>
      </c>
      <c r="L42" s="69">
        <f t="shared" si="17"/>
        <v>12.280000000000001</v>
      </c>
      <c r="M42" s="69">
        <f t="shared" si="17"/>
        <v>14.490000000000002</v>
      </c>
      <c r="N42" s="69">
        <f t="shared" si="17"/>
        <v>11.7</v>
      </c>
      <c r="O42" s="69">
        <f t="shared" si="17"/>
        <v>15.376666666666669</v>
      </c>
      <c r="P42" s="82"/>
      <c r="Q42" s="82"/>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row>
    <row r="43" spans="1:43" ht="15" customHeight="1" x14ac:dyDescent="0.25">
      <c r="A43" s="85" t="s">
        <v>78</v>
      </c>
      <c r="B43" s="86" t="s">
        <v>55</v>
      </c>
      <c r="C43" s="87">
        <f t="shared" ref="C43" si="18">C13</f>
        <v>7.9328225369553431</v>
      </c>
      <c r="D43" s="88">
        <f t="shared" ref="D43:O43" si="19">D13</f>
        <v>7.9328225369553431</v>
      </c>
      <c r="E43" s="88">
        <f t="shared" si="19"/>
        <v>7.9328225369553449</v>
      </c>
      <c r="F43" s="88">
        <f t="shared" si="19"/>
        <v>7.9328225369553431</v>
      </c>
      <c r="G43" s="88">
        <f t="shared" si="19"/>
        <v>7.9328225369553431</v>
      </c>
      <c r="H43" s="88">
        <f t="shared" si="19"/>
        <v>7.932822536955344</v>
      </c>
      <c r="I43" s="88">
        <f t="shared" si="19"/>
        <v>7.9328225369553431</v>
      </c>
      <c r="J43" s="88">
        <f t="shared" si="19"/>
        <v>7.9328225369553431</v>
      </c>
      <c r="K43" s="88">
        <f t="shared" si="19"/>
        <v>7.9328225369553431</v>
      </c>
      <c r="L43" s="88">
        <f t="shared" si="19"/>
        <v>7.932822536955344</v>
      </c>
      <c r="M43" s="88">
        <f t="shared" si="19"/>
        <v>7.932822536955344</v>
      </c>
      <c r="N43" s="88">
        <f t="shared" si="19"/>
        <v>7.932822536955344</v>
      </c>
      <c r="O43" s="88">
        <f t="shared" si="19"/>
        <v>7.932822536955344</v>
      </c>
      <c r="P43" s="82"/>
      <c r="Q43" s="82"/>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row>
    <row r="44" spans="1:43" s="38" customFormat="1" ht="9.75" customHeight="1" x14ac:dyDescent="0.25">
      <c r="B44" s="39"/>
    </row>
    <row r="45" spans="1:43" ht="18" customHeight="1" x14ac:dyDescent="0.25">
      <c r="A45" s="46" t="s">
        <v>79</v>
      </c>
      <c r="B45" s="47"/>
      <c r="C45" s="48"/>
      <c r="D45" s="48"/>
      <c r="E45" s="48"/>
      <c r="F45" s="48"/>
      <c r="G45" s="48"/>
      <c r="H45" s="48"/>
      <c r="I45" s="48"/>
      <c r="J45" s="48"/>
      <c r="K45" s="48"/>
      <c r="L45" s="48"/>
      <c r="M45" s="48"/>
      <c r="N45" s="48"/>
      <c r="O45" s="49"/>
      <c r="P45" s="44"/>
      <c r="Q45" s="45"/>
    </row>
    <row r="46" spans="1:43" ht="15" customHeight="1" x14ac:dyDescent="0.25">
      <c r="A46" s="62" t="s">
        <v>63</v>
      </c>
      <c r="B46" s="63" t="s">
        <v>55</v>
      </c>
      <c r="C46" s="81">
        <f t="shared" ref="C46:O46" si="20">IF(C43&gt;C42,(C37+C43-C42)/C17*C16,C37/C17*C16)</f>
        <v>16.853333333333335</v>
      </c>
      <c r="D46" s="65">
        <f t="shared" si="20"/>
        <v>10.905645073910687</v>
      </c>
      <c r="E46" s="65">
        <f t="shared" si="20"/>
        <v>12.120000000000001</v>
      </c>
      <c r="F46" s="65">
        <f t="shared" si="20"/>
        <v>14.000000000000002</v>
      </c>
      <c r="G46" s="65">
        <f t="shared" si="20"/>
        <v>15.84</v>
      </c>
      <c r="H46" s="65">
        <f t="shared" si="20"/>
        <v>17.399999999999999</v>
      </c>
      <c r="I46" s="65">
        <f t="shared" si="20"/>
        <v>20.400000000000002</v>
      </c>
      <c r="J46" s="65">
        <f t="shared" si="20"/>
        <v>15.493333333333334</v>
      </c>
      <c r="K46" s="65">
        <f t="shared" si="20"/>
        <v>16.853333333333335</v>
      </c>
      <c r="L46" s="65">
        <f t="shared" si="20"/>
        <v>15.2</v>
      </c>
      <c r="M46" s="65">
        <f t="shared" si="20"/>
        <v>17.760000000000002</v>
      </c>
      <c r="N46" s="65">
        <f t="shared" si="20"/>
        <v>14.4</v>
      </c>
      <c r="O46" s="65">
        <f t="shared" si="20"/>
        <v>18.666666666666668</v>
      </c>
      <c r="P46" s="82"/>
      <c r="Q46" s="82"/>
      <c r="R46" s="82"/>
      <c r="S46" s="82"/>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row>
    <row r="47" spans="1:43" ht="15" customHeight="1" x14ac:dyDescent="0.25">
      <c r="A47" s="66" t="s">
        <v>42</v>
      </c>
      <c r="B47" s="67" t="s">
        <v>5</v>
      </c>
      <c r="C47" s="89">
        <f t="shared" ref="C47:O47" si="21">60/C46*C14*C16</f>
        <v>113.92405063291137</v>
      </c>
      <c r="D47" s="90">
        <f t="shared" si="21"/>
        <v>55.017378241601278</v>
      </c>
      <c r="E47" s="90">
        <f t="shared" si="21"/>
        <v>59.405940594059402</v>
      </c>
      <c r="F47" s="90">
        <f t="shared" si="21"/>
        <v>60</v>
      </c>
      <c r="G47" s="90">
        <f t="shared" si="21"/>
        <v>60.606060606060609</v>
      </c>
      <c r="H47" s="90">
        <f t="shared" si="21"/>
        <v>68.965517241379317</v>
      </c>
      <c r="I47" s="90">
        <f t="shared" si="21"/>
        <v>70.588235294117638</v>
      </c>
      <c r="J47" s="90">
        <f t="shared" si="21"/>
        <v>108.43373493975903</v>
      </c>
      <c r="K47" s="90">
        <f t="shared" si="21"/>
        <v>113.92405063291137</v>
      </c>
      <c r="L47" s="90">
        <f t="shared" si="21"/>
        <v>157.89473684210526</v>
      </c>
      <c r="M47" s="90">
        <f t="shared" si="21"/>
        <v>162.16216216216213</v>
      </c>
      <c r="N47" s="90">
        <f t="shared" si="21"/>
        <v>250.00000000000003</v>
      </c>
      <c r="O47" s="90">
        <f t="shared" si="21"/>
        <v>257.14285714285711</v>
      </c>
      <c r="P47" s="44"/>
      <c r="Q47" s="44"/>
      <c r="R47" s="44"/>
      <c r="S47" s="44"/>
    </row>
    <row r="48" spans="1:43" ht="15" customHeight="1" x14ac:dyDescent="0.25">
      <c r="A48" s="91" t="s">
        <v>182</v>
      </c>
      <c r="B48" s="92" t="s">
        <v>162</v>
      </c>
      <c r="C48" s="93">
        <f t="shared" ref="C48:O48" si="22">ROUNDUP(C7/C14,0)</f>
        <v>26</v>
      </c>
      <c r="D48" s="90">
        <f t="shared" si="22"/>
        <v>11</v>
      </c>
      <c r="E48" s="90">
        <f t="shared" si="22"/>
        <v>11</v>
      </c>
      <c r="F48" s="90">
        <f t="shared" si="22"/>
        <v>10</v>
      </c>
      <c r="G48" s="90">
        <f t="shared" si="22"/>
        <v>13</v>
      </c>
      <c r="H48" s="90">
        <f t="shared" si="22"/>
        <v>16</v>
      </c>
      <c r="I48" s="90">
        <f t="shared" si="22"/>
        <v>18</v>
      </c>
      <c r="J48" s="90">
        <f t="shared" si="22"/>
        <v>30</v>
      </c>
      <c r="K48" s="90">
        <f t="shared" si="22"/>
        <v>26</v>
      </c>
      <c r="L48" s="90">
        <f t="shared" si="22"/>
        <v>32</v>
      </c>
      <c r="M48" s="90">
        <f t="shared" si="22"/>
        <v>26</v>
      </c>
      <c r="N48" s="90">
        <f t="shared" si="22"/>
        <v>35</v>
      </c>
      <c r="O48" s="90">
        <f t="shared" si="22"/>
        <v>26</v>
      </c>
    </row>
    <row r="49" spans="1:17" ht="15" customHeight="1" x14ac:dyDescent="0.25">
      <c r="A49" s="83" t="s">
        <v>64</v>
      </c>
      <c r="B49" s="92" t="s">
        <v>81</v>
      </c>
      <c r="C49" s="89">
        <f t="shared" ref="C49:O49" si="23">C46/C16*C48</f>
        <v>219.09333333333336</v>
      </c>
      <c r="D49" s="90">
        <f t="shared" si="23"/>
        <v>59.981047906508778</v>
      </c>
      <c r="E49" s="90">
        <f t="shared" si="23"/>
        <v>66.660000000000011</v>
      </c>
      <c r="F49" s="90">
        <f t="shared" si="23"/>
        <v>70.000000000000014</v>
      </c>
      <c r="G49" s="90">
        <f t="shared" si="23"/>
        <v>102.96</v>
      </c>
      <c r="H49" s="90">
        <f t="shared" si="23"/>
        <v>139.19999999999999</v>
      </c>
      <c r="I49" s="90">
        <f t="shared" si="23"/>
        <v>183.60000000000002</v>
      </c>
      <c r="J49" s="90">
        <f t="shared" si="23"/>
        <v>232.4</v>
      </c>
      <c r="K49" s="90">
        <f t="shared" si="23"/>
        <v>219.09333333333336</v>
      </c>
      <c r="L49" s="90">
        <f t="shared" si="23"/>
        <v>243.2</v>
      </c>
      <c r="M49" s="90">
        <f t="shared" si="23"/>
        <v>230.88000000000002</v>
      </c>
      <c r="N49" s="90">
        <f t="shared" si="23"/>
        <v>252</v>
      </c>
      <c r="O49" s="90">
        <f t="shared" si="23"/>
        <v>242.66666666666669</v>
      </c>
    </row>
    <row r="50" spans="1:17" ht="15" customHeight="1" x14ac:dyDescent="0.25">
      <c r="A50" s="85" t="s">
        <v>64</v>
      </c>
      <c r="B50" s="86" t="s">
        <v>82</v>
      </c>
      <c r="C50" s="87">
        <f t="shared" ref="C50:D50" si="24">C49/60</f>
        <v>3.6515555555555559</v>
      </c>
      <c r="D50" s="88">
        <f t="shared" si="24"/>
        <v>0.99968413177514626</v>
      </c>
      <c r="E50" s="88">
        <f t="shared" ref="E50:O50" si="25">E49/60</f>
        <v>1.1110000000000002</v>
      </c>
      <c r="F50" s="88">
        <f t="shared" si="25"/>
        <v>1.166666666666667</v>
      </c>
      <c r="G50" s="88">
        <f t="shared" si="25"/>
        <v>1.716</v>
      </c>
      <c r="H50" s="88">
        <f t="shared" si="25"/>
        <v>2.3199999999999998</v>
      </c>
      <c r="I50" s="88">
        <f t="shared" si="25"/>
        <v>3.0600000000000005</v>
      </c>
      <c r="J50" s="88">
        <f t="shared" si="25"/>
        <v>3.8733333333333335</v>
      </c>
      <c r="K50" s="88">
        <f t="shared" si="25"/>
        <v>3.6515555555555559</v>
      </c>
      <c r="L50" s="88">
        <f t="shared" si="25"/>
        <v>4.0533333333333328</v>
      </c>
      <c r="M50" s="88">
        <f t="shared" si="25"/>
        <v>3.8480000000000003</v>
      </c>
      <c r="N50" s="88">
        <f t="shared" si="25"/>
        <v>4.2</v>
      </c>
      <c r="O50" s="88">
        <f t="shared" si="25"/>
        <v>4.0444444444444452</v>
      </c>
      <c r="P50" s="45"/>
      <c r="Q50" s="45"/>
    </row>
    <row r="51" spans="1:17" s="94" customFormat="1" ht="9.75" customHeight="1" x14ac:dyDescent="0.25">
      <c r="B51" s="39"/>
    </row>
    <row r="52" spans="1:17" ht="18" customHeight="1" x14ac:dyDescent="0.25">
      <c r="A52" s="40" t="s">
        <v>70</v>
      </c>
      <c r="B52" s="41"/>
      <c r="C52" s="42"/>
      <c r="D52" s="42"/>
      <c r="E52" s="42"/>
      <c r="F52" s="42"/>
      <c r="G52" s="42"/>
      <c r="H52" s="42"/>
      <c r="I52" s="42"/>
      <c r="J52" s="42"/>
      <c r="K52" s="42"/>
      <c r="L52" s="42"/>
      <c r="M52" s="42"/>
      <c r="N52" s="42"/>
      <c r="O52" s="43"/>
      <c r="P52" s="44"/>
      <c r="Q52" s="45"/>
    </row>
    <row r="53" spans="1:17" ht="15" customHeight="1" x14ac:dyDescent="0.25">
      <c r="A53" s="62" t="s">
        <v>139</v>
      </c>
      <c r="B53" s="63" t="s">
        <v>179</v>
      </c>
      <c r="C53" s="28">
        <v>0.35</v>
      </c>
      <c r="D53" s="29">
        <v>0.35</v>
      </c>
      <c r="E53" s="29">
        <v>0.35</v>
      </c>
      <c r="F53" s="29">
        <v>0.35</v>
      </c>
      <c r="G53" s="29">
        <v>0.35</v>
      </c>
      <c r="H53" s="29">
        <v>0.35</v>
      </c>
      <c r="I53" s="29">
        <v>0.35</v>
      </c>
      <c r="J53" s="29">
        <v>0.35</v>
      </c>
      <c r="K53" s="29">
        <v>0.35</v>
      </c>
      <c r="L53" s="29">
        <v>0.35</v>
      </c>
      <c r="M53" s="29">
        <v>0.35</v>
      </c>
      <c r="N53" s="29">
        <v>0.35</v>
      </c>
      <c r="O53" s="29">
        <v>0.35</v>
      </c>
      <c r="P53" s="45"/>
      <c r="Q53" s="45"/>
    </row>
    <row r="54" spans="1:17" ht="15" customHeight="1" x14ac:dyDescent="0.25">
      <c r="A54" s="66" t="s">
        <v>140</v>
      </c>
      <c r="B54" s="67" t="s">
        <v>80</v>
      </c>
      <c r="C54" s="95">
        <f t="shared" ref="C54:O54" si="26">1+1*C17</f>
        <v>2.5</v>
      </c>
      <c r="D54" s="33">
        <f t="shared" si="26"/>
        <v>2</v>
      </c>
      <c r="E54" s="33">
        <f t="shared" si="26"/>
        <v>2</v>
      </c>
      <c r="F54" s="33">
        <f t="shared" si="26"/>
        <v>2</v>
      </c>
      <c r="G54" s="33">
        <f t="shared" si="26"/>
        <v>2</v>
      </c>
      <c r="H54" s="33">
        <f t="shared" si="26"/>
        <v>2</v>
      </c>
      <c r="I54" s="33">
        <f t="shared" si="26"/>
        <v>2</v>
      </c>
      <c r="J54" s="33">
        <f t="shared" si="26"/>
        <v>2.5</v>
      </c>
      <c r="K54" s="33">
        <f t="shared" si="26"/>
        <v>2.5</v>
      </c>
      <c r="L54" s="33">
        <f t="shared" si="26"/>
        <v>3</v>
      </c>
      <c r="M54" s="33">
        <f t="shared" si="26"/>
        <v>3</v>
      </c>
      <c r="N54" s="33">
        <f t="shared" si="26"/>
        <v>4</v>
      </c>
      <c r="O54" s="33">
        <f t="shared" si="26"/>
        <v>4</v>
      </c>
      <c r="P54" s="45"/>
      <c r="Q54" s="45"/>
    </row>
    <row r="55" spans="1:17" ht="15" customHeight="1" x14ac:dyDescent="0.25">
      <c r="A55" s="66" t="s">
        <v>180</v>
      </c>
      <c r="B55" s="67" t="s">
        <v>179</v>
      </c>
      <c r="C55" s="84">
        <f t="shared" ref="C55:O55" si="27">C56/C14/C16</f>
        <v>0.42812499999999998</v>
      </c>
      <c r="D55" s="69">
        <f t="shared" si="27"/>
        <v>0.55000000000000004</v>
      </c>
      <c r="E55" s="69">
        <f t="shared" si="27"/>
        <v>0.51666666666666661</v>
      </c>
      <c r="F55" s="69">
        <f t="shared" si="27"/>
        <v>0.49285714285714283</v>
      </c>
      <c r="G55" s="69">
        <f t="shared" si="27"/>
        <v>0.47499999999999998</v>
      </c>
      <c r="H55" s="69">
        <f t="shared" si="27"/>
        <v>0.45</v>
      </c>
      <c r="I55" s="69">
        <f t="shared" si="27"/>
        <v>0.43333333333333329</v>
      </c>
      <c r="J55" s="69">
        <f t="shared" si="27"/>
        <v>0.43928571428571422</v>
      </c>
      <c r="K55" s="69">
        <f t="shared" si="27"/>
        <v>0.42812499999999998</v>
      </c>
      <c r="L55" s="69">
        <f t="shared" si="27"/>
        <v>0.42499999999999999</v>
      </c>
      <c r="M55" s="69">
        <f t="shared" si="27"/>
        <v>0.41249999999999992</v>
      </c>
      <c r="N55" s="69">
        <f t="shared" si="27"/>
        <v>0.41666666666666669</v>
      </c>
      <c r="O55" s="69">
        <f t="shared" si="27"/>
        <v>0.4</v>
      </c>
      <c r="P55" s="44"/>
      <c r="Q55" s="45"/>
    </row>
    <row r="56" spans="1:17" ht="15" customHeight="1" x14ac:dyDescent="0.25">
      <c r="A56" s="66" t="s">
        <v>180</v>
      </c>
      <c r="B56" s="67" t="s">
        <v>80</v>
      </c>
      <c r="C56" s="68">
        <f t="shared" ref="C56:O56" si="28">C53*C14*C16+C54</f>
        <v>13.7</v>
      </c>
      <c r="D56" s="69">
        <f t="shared" si="28"/>
        <v>5.5</v>
      </c>
      <c r="E56" s="69">
        <f t="shared" si="28"/>
        <v>6.1999999999999993</v>
      </c>
      <c r="F56" s="69">
        <f t="shared" si="28"/>
        <v>6.8999999999999995</v>
      </c>
      <c r="G56" s="69">
        <f t="shared" si="28"/>
        <v>7.6</v>
      </c>
      <c r="H56" s="69">
        <f t="shared" si="28"/>
        <v>9</v>
      </c>
      <c r="I56" s="69">
        <f t="shared" si="28"/>
        <v>10.399999999999999</v>
      </c>
      <c r="J56" s="69">
        <f t="shared" si="28"/>
        <v>12.299999999999999</v>
      </c>
      <c r="K56" s="69">
        <f t="shared" si="28"/>
        <v>13.7</v>
      </c>
      <c r="L56" s="69">
        <f t="shared" si="28"/>
        <v>17</v>
      </c>
      <c r="M56" s="69">
        <f t="shared" si="28"/>
        <v>19.799999999999997</v>
      </c>
      <c r="N56" s="69">
        <f t="shared" si="28"/>
        <v>25</v>
      </c>
      <c r="O56" s="69">
        <f t="shared" si="28"/>
        <v>32</v>
      </c>
      <c r="P56" s="45"/>
      <c r="Q56" s="45"/>
    </row>
    <row r="57" spans="1:17" ht="15" customHeight="1" x14ac:dyDescent="0.25">
      <c r="A57" s="34" t="s">
        <v>65</v>
      </c>
      <c r="B57" s="86" t="s">
        <v>81</v>
      </c>
      <c r="C57" s="96">
        <f t="shared" ref="C57:O57" si="29">C56/C17</f>
        <v>9.1333333333333329</v>
      </c>
      <c r="D57" s="88">
        <f t="shared" si="29"/>
        <v>5.5</v>
      </c>
      <c r="E57" s="88">
        <f t="shared" si="29"/>
        <v>6.1999999999999993</v>
      </c>
      <c r="F57" s="88">
        <f t="shared" si="29"/>
        <v>6.8999999999999995</v>
      </c>
      <c r="G57" s="88">
        <f t="shared" si="29"/>
        <v>7.6</v>
      </c>
      <c r="H57" s="88">
        <f t="shared" si="29"/>
        <v>9</v>
      </c>
      <c r="I57" s="88">
        <f t="shared" si="29"/>
        <v>10.399999999999999</v>
      </c>
      <c r="J57" s="88">
        <f t="shared" si="29"/>
        <v>8.1999999999999993</v>
      </c>
      <c r="K57" s="88">
        <f t="shared" si="29"/>
        <v>9.1333333333333329</v>
      </c>
      <c r="L57" s="88">
        <f t="shared" si="29"/>
        <v>8.5</v>
      </c>
      <c r="M57" s="88">
        <f t="shared" si="29"/>
        <v>9.8999999999999986</v>
      </c>
      <c r="N57" s="88">
        <f t="shared" si="29"/>
        <v>8.3333333333333339</v>
      </c>
      <c r="O57" s="88">
        <f t="shared" si="29"/>
        <v>10.666666666666666</v>
      </c>
      <c r="P57" s="45"/>
      <c r="Q57" s="45"/>
    </row>
    <row r="58" spans="1:17" s="94" customFormat="1" ht="9.75" customHeight="1" x14ac:dyDescent="0.25">
      <c r="B58" s="39"/>
    </row>
    <row r="59" spans="1:17" ht="18" customHeight="1" x14ac:dyDescent="0.25">
      <c r="A59" s="40" t="s">
        <v>72</v>
      </c>
      <c r="B59" s="41"/>
      <c r="C59" s="42"/>
      <c r="D59" s="42"/>
      <c r="E59" s="42"/>
      <c r="F59" s="42"/>
      <c r="G59" s="42"/>
      <c r="H59" s="42"/>
      <c r="I59" s="42"/>
      <c r="J59" s="42"/>
      <c r="K59" s="42"/>
      <c r="L59" s="42"/>
      <c r="M59" s="42"/>
      <c r="N59" s="42"/>
      <c r="O59" s="43"/>
      <c r="P59" s="44"/>
      <c r="Q59" s="45"/>
    </row>
    <row r="60" spans="1:17" ht="15" customHeight="1" x14ac:dyDescent="0.25">
      <c r="A60" s="62" t="s">
        <v>141</v>
      </c>
      <c r="B60" s="63" t="s">
        <v>179</v>
      </c>
      <c r="C60" s="97">
        <v>2</v>
      </c>
      <c r="D60" s="29">
        <v>2</v>
      </c>
      <c r="E60" s="29">
        <v>2</v>
      </c>
      <c r="F60" s="29">
        <v>2</v>
      </c>
      <c r="G60" s="29">
        <v>2</v>
      </c>
      <c r="H60" s="29">
        <v>2</v>
      </c>
      <c r="I60" s="29">
        <v>2</v>
      </c>
      <c r="J60" s="29">
        <v>2</v>
      </c>
      <c r="K60" s="29">
        <v>2</v>
      </c>
      <c r="L60" s="29">
        <v>2</v>
      </c>
      <c r="M60" s="29">
        <v>2</v>
      </c>
      <c r="N60" s="29">
        <v>2</v>
      </c>
      <c r="O60" s="29">
        <v>2</v>
      </c>
      <c r="P60" s="45"/>
      <c r="Q60" s="45"/>
    </row>
    <row r="61" spans="1:17" ht="15" customHeight="1" x14ac:dyDescent="0.25">
      <c r="A61" s="66" t="s">
        <v>142</v>
      </c>
      <c r="B61" s="67" t="s">
        <v>80</v>
      </c>
      <c r="C61" s="95">
        <f t="shared" ref="C61:O61" si="30">15+C17*1</f>
        <v>16.5</v>
      </c>
      <c r="D61" s="33">
        <f t="shared" si="30"/>
        <v>16</v>
      </c>
      <c r="E61" s="33">
        <f t="shared" si="30"/>
        <v>16</v>
      </c>
      <c r="F61" s="33">
        <f t="shared" si="30"/>
        <v>16</v>
      </c>
      <c r="G61" s="33">
        <f t="shared" si="30"/>
        <v>16</v>
      </c>
      <c r="H61" s="33">
        <f t="shared" si="30"/>
        <v>16</v>
      </c>
      <c r="I61" s="33">
        <f t="shared" si="30"/>
        <v>16</v>
      </c>
      <c r="J61" s="33">
        <f t="shared" si="30"/>
        <v>16.5</v>
      </c>
      <c r="K61" s="33">
        <f t="shared" si="30"/>
        <v>16.5</v>
      </c>
      <c r="L61" s="33">
        <f t="shared" si="30"/>
        <v>17</v>
      </c>
      <c r="M61" s="33">
        <f t="shared" si="30"/>
        <v>17</v>
      </c>
      <c r="N61" s="33">
        <f t="shared" si="30"/>
        <v>18</v>
      </c>
      <c r="O61" s="33">
        <f t="shared" si="30"/>
        <v>18</v>
      </c>
      <c r="P61" s="45"/>
      <c r="Q61" s="45"/>
    </row>
    <row r="62" spans="1:17" ht="15" customHeight="1" x14ac:dyDescent="0.25">
      <c r="A62" s="66" t="s">
        <v>181</v>
      </c>
      <c r="B62" s="67" t="s">
        <v>179</v>
      </c>
      <c r="C62" s="84">
        <f t="shared" ref="C62:O62" si="31">C63/C14/C16</f>
        <v>2.515625</v>
      </c>
      <c r="D62" s="69">
        <f t="shared" si="31"/>
        <v>3.6</v>
      </c>
      <c r="E62" s="69">
        <f t="shared" si="31"/>
        <v>3.3333333333333335</v>
      </c>
      <c r="F62" s="69">
        <f t="shared" si="31"/>
        <v>3.1428571428571428</v>
      </c>
      <c r="G62" s="69">
        <f t="shared" si="31"/>
        <v>3</v>
      </c>
      <c r="H62" s="69">
        <f t="shared" si="31"/>
        <v>2.8</v>
      </c>
      <c r="I62" s="69">
        <f t="shared" si="31"/>
        <v>2.6666666666666665</v>
      </c>
      <c r="J62" s="69">
        <f t="shared" si="31"/>
        <v>2.5892857142857144</v>
      </c>
      <c r="K62" s="69">
        <f t="shared" si="31"/>
        <v>2.515625</v>
      </c>
      <c r="L62" s="69">
        <f t="shared" si="31"/>
        <v>2.4249999999999998</v>
      </c>
      <c r="M62" s="69">
        <f t="shared" si="31"/>
        <v>2.3541666666666665</v>
      </c>
      <c r="N62" s="69">
        <f t="shared" si="31"/>
        <v>2.2999999999999998</v>
      </c>
      <c r="O62" s="69">
        <f t="shared" si="31"/>
        <v>2.2250000000000001</v>
      </c>
      <c r="P62" s="98"/>
    </row>
    <row r="63" spans="1:17" ht="15" customHeight="1" x14ac:dyDescent="0.25">
      <c r="A63" s="66" t="s">
        <v>181</v>
      </c>
      <c r="B63" s="67" t="s">
        <v>80</v>
      </c>
      <c r="C63" s="68">
        <f t="shared" ref="C63:O63" si="32">C60*C14*C16+C61</f>
        <v>80.5</v>
      </c>
      <c r="D63" s="69">
        <f t="shared" si="32"/>
        <v>36</v>
      </c>
      <c r="E63" s="69">
        <f t="shared" si="32"/>
        <v>40</v>
      </c>
      <c r="F63" s="69">
        <f t="shared" si="32"/>
        <v>44</v>
      </c>
      <c r="G63" s="69">
        <f t="shared" si="32"/>
        <v>48</v>
      </c>
      <c r="H63" s="69">
        <f t="shared" si="32"/>
        <v>56</v>
      </c>
      <c r="I63" s="69">
        <f t="shared" si="32"/>
        <v>64</v>
      </c>
      <c r="J63" s="69">
        <f t="shared" si="32"/>
        <v>72.5</v>
      </c>
      <c r="K63" s="69">
        <f t="shared" si="32"/>
        <v>80.5</v>
      </c>
      <c r="L63" s="69">
        <f t="shared" si="32"/>
        <v>97</v>
      </c>
      <c r="M63" s="69">
        <f t="shared" si="32"/>
        <v>113</v>
      </c>
      <c r="N63" s="69">
        <f t="shared" si="32"/>
        <v>138</v>
      </c>
      <c r="O63" s="69">
        <f t="shared" si="32"/>
        <v>178</v>
      </c>
    </row>
    <row r="64" spans="1:17" ht="15" customHeight="1" x14ac:dyDescent="0.25">
      <c r="A64" s="34" t="s">
        <v>66</v>
      </c>
      <c r="B64" s="86" t="s">
        <v>81</v>
      </c>
      <c r="C64" s="96">
        <f t="shared" ref="C64:O64" si="33">C63/C17</f>
        <v>53.666666666666664</v>
      </c>
      <c r="D64" s="88">
        <f t="shared" si="33"/>
        <v>36</v>
      </c>
      <c r="E64" s="88">
        <f t="shared" si="33"/>
        <v>40</v>
      </c>
      <c r="F64" s="88">
        <f t="shared" si="33"/>
        <v>44</v>
      </c>
      <c r="G64" s="88">
        <f t="shared" si="33"/>
        <v>48</v>
      </c>
      <c r="H64" s="88">
        <f t="shared" si="33"/>
        <v>56</v>
      </c>
      <c r="I64" s="88">
        <f t="shared" si="33"/>
        <v>64</v>
      </c>
      <c r="J64" s="88">
        <f t="shared" si="33"/>
        <v>48.333333333333336</v>
      </c>
      <c r="K64" s="88">
        <f t="shared" si="33"/>
        <v>53.666666666666664</v>
      </c>
      <c r="L64" s="88">
        <f t="shared" si="33"/>
        <v>48.5</v>
      </c>
      <c r="M64" s="88">
        <f t="shared" si="33"/>
        <v>56.5</v>
      </c>
      <c r="N64" s="88">
        <f t="shared" si="33"/>
        <v>46</v>
      </c>
      <c r="O64" s="88">
        <f t="shared" si="33"/>
        <v>59.333333333333336</v>
      </c>
    </row>
    <row r="65" spans="1:17" s="94" customFormat="1" ht="9.75" customHeight="1" x14ac:dyDescent="0.25">
      <c r="B65" s="39"/>
    </row>
    <row r="66" spans="1:17" ht="18" customHeight="1" x14ac:dyDescent="0.25">
      <c r="A66" s="40" t="s">
        <v>73</v>
      </c>
      <c r="B66" s="41"/>
      <c r="C66" s="42"/>
      <c r="D66" s="42"/>
      <c r="E66" s="42"/>
      <c r="F66" s="42"/>
      <c r="G66" s="42"/>
      <c r="H66" s="42"/>
      <c r="I66" s="42"/>
      <c r="J66" s="42"/>
      <c r="K66" s="42"/>
      <c r="L66" s="42"/>
      <c r="M66" s="42"/>
      <c r="N66" s="42"/>
      <c r="O66" s="43"/>
      <c r="P66" s="44"/>
      <c r="Q66" s="45"/>
    </row>
    <row r="67" spans="1:17" ht="15" customHeight="1" x14ac:dyDescent="0.25">
      <c r="A67" s="62" t="s">
        <v>69</v>
      </c>
      <c r="B67" s="63" t="s">
        <v>68</v>
      </c>
      <c r="C67" s="99">
        <f t="shared" ref="C67:O67" si="34">0.3053481001*2.71828182845905^(-0.00019799296*C7*2)</f>
        <v>0.25913273460708508</v>
      </c>
      <c r="D67" s="53">
        <f t="shared" si="34"/>
        <v>0.29914800033217542</v>
      </c>
      <c r="E67" s="53">
        <f t="shared" si="34"/>
        <v>0.29812695966847014</v>
      </c>
      <c r="F67" s="53">
        <f t="shared" si="34"/>
        <v>0.29710940398222019</v>
      </c>
      <c r="G67" s="53">
        <f t="shared" si="34"/>
        <v>0.29307379372405418</v>
      </c>
      <c r="H67" s="53">
        <f t="shared" si="34"/>
        <v>0.28712292401230921</v>
      </c>
      <c r="I67" s="53">
        <f t="shared" si="34"/>
        <v>0.2812928868385956</v>
      </c>
      <c r="J67" s="53">
        <f t="shared" si="34"/>
        <v>0.25913273460708508</v>
      </c>
      <c r="K67" s="53">
        <f t="shared" si="34"/>
        <v>0.25913273460708508</v>
      </c>
      <c r="L67" s="53">
        <f t="shared" si="34"/>
        <v>0.23871835118061902</v>
      </c>
      <c r="M67" s="53">
        <f t="shared" si="34"/>
        <v>0.23871835118061902</v>
      </c>
      <c r="N67" s="53">
        <f t="shared" si="34"/>
        <v>0.20258760123960007</v>
      </c>
      <c r="O67" s="53">
        <f t="shared" si="34"/>
        <v>0.20258760123960007</v>
      </c>
    </row>
    <row r="68" spans="1:17" ht="15" customHeight="1" x14ac:dyDescent="0.25">
      <c r="A68" s="34" t="s">
        <v>69</v>
      </c>
      <c r="B68" s="86" t="s">
        <v>80</v>
      </c>
      <c r="C68" s="87">
        <f t="shared" ref="C68:O68" si="35">C67*C7</f>
        <v>107.39471771813633</v>
      </c>
      <c r="D68" s="88">
        <f t="shared" si="35"/>
        <v>15.497325675744893</v>
      </c>
      <c r="E68" s="88">
        <f t="shared" si="35"/>
        <v>18.018502586791925</v>
      </c>
      <c r="F68" s="88">
        <f t="shared" si="35"/>
        <v>20.522288587259698</v>
      </c>
      <c r="G68" s="88">
        <f t="shared" si="35"/>
        <v>30.365304286336151</v>
      </c>
      <c r="H68" s="88">
        <f t="shared" si="35"/>
        <v>44.623104190400831</v>
      </c>
      <c r="I68" s="88">
        <f t="shared" si="35"/>
        <v>58.289374794651422</v>
      </c>
      <c r="J68" s="88">
        <f t="shared" si="35"/>
        <v>107.39471771813633</v>
      </c>
      <c r="K68" s="88">
        <f t="shared" si="35"/>
        <v>107.39471771813633</v>
      </c>
      <c r="L68" s="88">
        <f t="shared" si="35"/>
        <v>148.40130085101507</v>
      </c>
      <c r="M68" s="88">
        <f t="shared" si="35"/>
        <v>148.40130085101507</v>
      </c>
      <c r="N68" s="88">
        <f t="shared" si="35"/>
        <v>209.90051952824902</v>
      </c>
      <c r="O68" s="88">
        <f t="shared" si="35"/>
        <v>209.90051952824902</v>
      </c>
    </row>
    <row r="69" spans="1:17" s="94" customFormat="1" ht="9.75" customHeight="1" x14ac:dyDescent="0.25">
      <c r="B69" s="39"/>
    </row>
    <row r="70" spans="1:17" ht="18" customHeight="1" x14ac:dyDescent="0.25">
      <c r="A70" s="46" t="s">
        <v>174</v>
      </c>
      <c r="B70" s="47"/>
      <c r="C70" s="48"/>
      <c r="D70" s="48"/>
      <c r="E70" s="48"/>
      <c r="F70" s="48"/>
      <c r="G70" s="48"/>
      <c r="H70" s="48"/>
      <c r="I70" s="48"/>
      <c r="J70" s="48"/>
      <c r="K70" s="48"/>
      <c r="L70" s="48"/>
      <c r="M70" s="48"/>
      <c r="N70" s="48"/>
      <c r="O70" s="49"/>
      <c r="P70" s="44"/>
      <c r="Q70" s="45"/>
    </row>
    <row r="71" spans="1:17" ht="15" customHeight="1" x14ac:dyDescent="0.25">
      <c r="A71" s="62" t="s">
        <v>67</v>
      </c>
      <c r="B71" s="63" t="s">
        <v>55</v>
      </c>
      <c r="C71" s="100">
        <f t="shared" ref="C71" si="36">C49+C57+C64</f>
        <v>281.89333333333337</v>
      </c>
      <c r="D71" s="101">
        <f t="shared" ref="D71:O71" si="37">D49+D57+D64</f>
        <v>101.48104790650878</v>
      </c>
      <c r="E71" s="101">
        <f t="shared" si="37"/>
        <v>112.86000000000001</v>
      </c>
      <c r="F71" s="101">
        <f t="shared" si="37"/>
        <v>120.90000000000002</v>
      </c>
      <c r="G71" s="101">
        <f t="shared" si="37"/>
        <v>158.56</v>
      </c>
      <c r="H71" s="101">
        <f t="shared" si="37"/>
        <v>204.2</v>
      </c>
      <c r="I71" s="101">
        <f t="shared" si="37"/>
        <v>258</v>
      </c>
      <c r="J71" s="101">
        <f t="shared" si="37"/>
        <v>288.93333333333334</v>
      </c>
      <c r="K71" s="101">
        <f t="shared" si="37"/>
        <v>281.89333333333337</v>
      </c>
      <c r="L71" s="101">
        <f t="shared" si="37"/>
        <v>300.2</v>
      </c>
      <c r="M71" s="101">
        <f t="shared" si="37"/>
        <v>297.28000000000003</v>
      </c>
      <c r="N71" s="101">
        <f t="shared" si="37"/>
        <v>306.33333333333331</v>
      </c>
      <c r="O71" s="101">
        <f t="shared" si="37"/>
        <v>312.66666666666669</v>
      </c>
    </row>
    <row r="72" spans="1:17" ht="15" customHeight="1" x14ac:dyDescent="0.25">
      <c r="A72" s="34" t="s">
        <v>67</v>
      </c>
      <c r="B72" s="86" t="s">
        <v>40</v>
      </c>
      <c r="C72" s="96">
        <f t="shared" ref="C72:D72" si="38">C71/60</f>
        <v>4.6982222222222232</v>
      </c>
      <c r="D72" s="88">
        <f t="shared" si="38"/>
        <v>1.691350798441813</v>
      </c>
      <c r="E72" s="88">
        <f t="shared" ref="E72:O72" si="39">E71/60</f>
        <v>1.8810000000000002</v>
      </c>
      <c r="F72" s="88">
        <f t="shared" si="39"/>
        <v>2.0150000000000001</v>
      </c>
      <c r="G72" s="88">
        <f t="shared" si="39"/>
        <v>2.6426666666666665</v>
      </c>
      <c r="H72" s="88">
        <f t="shared" si="39"/>
        <v>3.4033333333333333</v>
      </c>
      <c r="I72" s="88">
        <f t="shared" si="39"/>
        <v>4.3</v>
      </c>
      <c r="J72" s="88">
        <f t="shared" si="39"/>
        <v>4.815555555555556</v>
      </c>
      <c r="K72" s="88">
        <f t="shared" si="39"/>
        <v>4.6982222222222232</v>
      </c>
      <c r="L72" s="88">
        <f t="shared" si="39"/>
        <v>5.003333333333333</v>
      </c>
      <c r="M72" s="88">
        <f t="shared" si="39"/>
        <v>4.9546666666666672</v>
      </c>
      <c r="N72" s="88">
        <f t="shared" si="39"/>
        <v>5.1055555555555552</v>
      </c>
      <c r="O72" s="88">
        <f t="shared" si="39"/>
        <v>5.2111111111111112</v>
      </c>
    </row>
    <row r="73" spans="1:17" s="94" customFormat="1" ht="9.75" customHeight="1" x14ac:dyDescent="0.25">
      <c r="B73" s="39"/>
    </row>
    <row r="74" spans="1:17" ht="18" customHeight="1" x14ac:dyDescent="0.25">
      <c r="A74" s="102" t="s">
        <v>168</v>
      </c>
      <c r="B74" s="103"/>
      <c r="C74" s="104"/>
      <c r="D74" s="104"/>
      <c r="E74" s="104"/>
      <c r="F74" s="104"/>
      <c r="G74" s="104"/>
      <c r="H74" s="104"/>
      <c r="I74" s="104"/>
      <c r="J74" s="104"/>
      <c r="K74" s="104"/>
      <c r="L74" s="104"/>
      <c r="M74" s="104"/>
      <c r="N74" s="104"/>
      <c r="O74" s="105"/>
      <c r="P74" s="44"/>
      <c r="Q74" s="45"/>
    </row>
    <row r="75" spans="1:17" ht="15" customHeight="1" x14ac:dyDescent="0.25">
      <c r="A75" s="106" t="s">
        <v>70</v>
      </c>
      <c r="B75" s="107" t="s">
        <v>167</v>
      </c>
      <c r="C75" s="108">
        <f>C56/60*'Melkstand und Herde'!C11</f>
        <v>0.45666666666666667</v>
      </c>
      <c r="D75" s="109">
        <f>D56/60*'Melkstand und Herde'!D11</f>
        <v>0.18333333333333332</v>
      </c>
      <c r="E75" s="109">
        <f>E56/60*'Melkstand und Herde'!E11</f>
        <v>0.20666666666666664</v>
      </c>
      <c r="F75" s="109">
        <f>F56/60*'Melkstand und Herde'!F11</f>
        <v>0.22999999999999998</v>
      </c>
      <c r="G75" s="109">
        <f>G56/60*'Melkstand und Herde'!G11</f>
        <v>0.2533333333333333</v>
      </c>
      <c r="H75" s="109">
        <f>H56/60*'Melkstand und Herde'!H11</f>
        <v>0.3</v>
      </c>
      <c r="I75" s="109">
        <f>I56/60*'Melkstand und Herde'!I11</f>
        <v>0.34666666666666662</v>
      </c>
      <c r="J75" s="109">
        <f>J56/60*'Melkstand und Herde'!J11</f>
        <v>0.41</v>
      </c>
      <c r="K75" s="109">
        <f>K56/60*'Melkstand und Herde'!K11</f>
        <v>0.45666666666666667</v>
      </c>
      <c r="L75" s="109">
        <f>L56/60*'Melkstand und Herde'!L11</f>
        <v>0.56666666666666665</v>
      </c>
      <c r="M75" s="109">
        <f>M56/60*'Melkstand und Herde'!M11</f>
        <v>0.65999999999999992</v>
      </c>
      <c r="N75" s="109">
        <f>N56/60*'Melkstand und Herde'!N11</f>
        <v>0.83333333333333337</v>
      </c>
      <c r="O75" s="109">
        <f>O56/60*'Melkstand und Herde'!O11</f>
        <v>1.0666666666666667</v>
      </c>
    </row>
    <row r="76" spans="1:17" ht="15" customHeight="1" x14ac:dyDescent="0.25">
      <c r="A76" s="110" t="s">
        <v>71</v>
      </c>
      <c r="B76" s="111" t="s">
        <v>167</v>
      </c>
      <c r="C76" s="112">
        <f>C50*C17*'Melkstand und Herde'!C11</f>
        <v>10.954666666666668</v>
      </c>
      <c r="D76" s="113">
        <f>D50*D17*'Melkstand und Herde'!D11</f>
        <v>1.9993682635502925</v>
      </c>
      <c r="E76" s="113">
        <f>E50*E17*'Melkstand und Herde'!E11</f>
        <v>2.2220000000000004</v>
      </c>
      <c r="F76" s="113">
        <f>F50*F17*'Melkstand und Herde'!F11</f>
        <v>2.3333333333333339</v>
      </c>
      <c r="G76" s="113">
        <f>G50*G17*'Melkstand und Herde'!G11</f>
        <v>3.4319999999999999</v>
      </c>
      <c r="H76" s="113">
        <f>H50*H17*'Melkstand und Herde'!H11</f>
        <v>4.6399999999999997</v>
      </c>
      <c r="I76" s="113">
        <f>I50*I17*'Melkstand und Herde'!I11</f>
        <v>6.120000000000001</v>
      </c>
      <c r="J76" s="113">
        <f>J50*J17*'Melkstand und Herde'!J11</f>
        <v>11.620000000000001</v>
      </c>
      <c r="K76" s="113">
        <f>K50*K17*'Melkstand und Herde'!K11</f>
        <v>10.954666666666668</v>
      </c>
      <c r="L76" s="113">
        <f>L50*L17*'Melkstand und Herde'!L11</f>
        <v>16.213333333333331</v>
      </c>
      <c r="M76" s="113">
        <f>M50*M17*'Melkstand und Herde'!M11</f>
        <v>15.392000000000001</v>
      </c>
      <c r="N76" s="113">
        <f>N50*N17*'Melkstand und Herde'!N11</f>
        <v>25.200000000000003</v>
      </c>
      <c r="O76" s="113">
        <f>O50*O17*'Melkstand und Herde'!O11</f>
        <v>24.266666666666673</v>
      </c>
    </row>
    <row r="77" spans="1:17" ht="15" customHeight="1" x14ac:dyDescent="0.25">
      <c r="A77" s="110" t="s">
        <v>72</v>
      </c>
      <c r="B77" s="111" t="s">
        <v>167</v>
      </c>
      <c r="C77" s="112">
        <f>C63*'Melkstand und Herde'!C11/60</f>
        <v>2.6833333333333331</v>
      </c>
      <c r="D77" s="113">
        <f>D63*'Melkstand und Herde'!D11/60</f>
        <v>1.2</v>
      </c>
      <c r="E77" s="113">
        <f>E63*'Melkstand und Herde'!E11/60</f>
        <v>1.3333333333333333</v>
      </c>
      <c r="F77" s="113">
        <f>F63*'Melkstand und Herde'!F11/60</f>
        <v>1.4666666666666666</v>
      </c>
      <c r="G77" s="113">
        <f>G63*'Melkstand und Herde'!G11/60</f>
        <v>1.6</v>
      </c>
      <c r="H77" s="113">
        <f>H63*'Melkstand und Herde'!H11/60</f>
        <v>1.8666666666666667</v>
      </c>
      <c r="I77" s="113">
        <f>I63*'Melkstand und Herde'!I11/60</f>
        <v>2.1333333333333333</v>
      </c>
      <c r="J77" s="113">
        <f>J63*'Melkstand und Herde'!J11/60</f>
        <v>2.4166666666666665</v>
      </c>
      <c r="K77" s="113">
        <f>K63*'Melkstand und Herde'!K11/60</f>
        <v>2.6833333333333331</v>
      </c>
      <c r="L77" s="113">
        <f>L63*'Melkstand und Herde'!L11/60</f>
        <v>3.2333333333333334</v>
      </c>
      <c r="M77" s="113">
        <f>M63*'Melkstand und Herde'!M11/60</f>
        <v>3.7666666666666666</v>
      </c>
      <c r="N77" s="113">
        <f>N63*'Melkstand und Herde'!N11/60</f>
        <v>4.5999999999999996</v>
      </c>
      <c r="O77" s="113">
        <f>O63*'Melkstand und Herde'!O11/60</f>
        <v>5.9333333333333336</v>
      </c>
    </row>
    <row r="78" spans="1:17" ht="15" customHeight="1" x14ac:dyDescent="0.25">
      <c r="A78" s="114" t="s">
        <v>73</v>
      </c>
      <c r="B78" s="115" t="s">
        <v>167</v>
      </c>
      <c r="C78" s="116">
        <f>C68*'Melkstand und Herde'!C11/60</f>
        <v>3.579823923937878</v>
      </c>
      <c r="D78" s="117">
        <f>D68*'Melkstand und Herde'!D11/60</f>
        <v>0.5165775225248298</v>
      </c>
      <c r="E78" s="117">
        <f>E68*'Melkstand und Herde'!E11/60</f>
        <v>0.60061675289306415</v>
      </c>
      <c r="F78" s="117">
        <f>F68*'Melkstand und Herde'!F11/60</f>
        <v>0.68407628624198991</v>
      </c>
      <c r="G78" s="117">
        <f>G68*'Melkstand und Herde'!G11/60</f>
        <v>1.0121768095445385</v>
      </c>
      <c r="H78" s="117">
        <f>H68*'Melkstand und Herde'!H11/60</f>
        <v>1.4874368063466943</v>
      </c>
      <c r="I78" s="117">
        <f>I68*'Melkstand und Herde'!I11/60</f>
        <v>1.9429791598217141</v>
      </c>
      <c r="J78" s="117">
        <f>J68*'Melkstand und Herde'!J11/60</f>
        <v>3.579823923937878</v>
      </c>
      <c r="K78" s="117">
        <f>K68*'Melkstand und Herde'!K11/60</f>
        <v>3.579823923937878</v>
      </c>
      <c r="L78" s="117">
        <f>L68*'Melkstand und Herde'!L11/60</f>
        <v>4.9467100283671686</v>
      </c>
      <c r="M78" s="117">
        <f>M68*'Melkstand und Herde'!M11/60</f>
        <v>4.9467100283671686</v>
      </c>
      <c r="N78" s="117">
        <f>N68*'Melkstand und Herde'!N11/60</f>
        <v>6.9966839842749673</v>
      </c>
      <c r="O78" s="117">
        <f>O68*'Melkstand und Herde'!O11/60</f>
        <v>6.9966839842749673</v>
      </c>
    </row>
    <row r="79" spans="1:17" s="8" customFormat="1" ht="18" customHeight="1" x14ac:dyDescent="0.25">
      <c r="A79" s="118" t="s">
        <v>74</v>
      </c>
      <c r="B79" s="119" t="s">
        <v>167</v>
      </c>
      <c r="C79" s="120">
        <f t="shared" ref="C79:D79" si="40">SUM(C75:C78)</f>
        <v>17.674490590604545</v>
      </c>
      <c r="D79" s="121">
        <f t="shared" si="40"/>
        <v>3.899279119408456</v>
      </c>
      <c r="E79" s="121">
        <f t="shared" ref="E79:O79" si="41">SUM(E75:E78)</f>
        <v>4.3626167528930644</v>
      </c>
      <c r="F79" s="121">
        <f t="shared" si="41"/>
        <v>4.7140762862419905</v>
      </c>
      <c r="G79" s="121">
        <f t="shared" si="41"/>
        <v>6.2975101428778721</v>
      </c>
      <c r="H79" s="121">
        <f t="shared" si="41"/>
        <v>8.2941034730133616</v>
      </c>
      <c r="I79" s="121">
        <f t="shared" si="41"/>
        <v>10.542979159821716</v>
      </c>
      <c r="J79" s="121">
        <f t="shared" si="41"/>
        <v>18.026490590604546</v>
      </c>
      <c r="K79" s="121">
        <f t="shared" si="41"/>
        <v>17.674490590604545</v>
      </c>
      <c r="L79" s="121">
        <f t="shared" si="41"/>
        <v>24.9600433617005</v>
      </c>
      <c r="M79" s="121">
        <f t="shared" si="41"/>
        <v>24.765376695033833</v>
      </c>
      <c r="N79" s="121">
        <f t="shared" si="41"/>
        <v>37.630017317608299</v>
      </c>
      <c r="O79" s="121">
        <f t="shared" si="41"/>
        <v>38.263350650941639</v>
      </c>
    </row>
    <row r="80" spans="1:17" s="94" customFormat="1" ht="9.75" customHeight="1" x14ac:dyDescent="0.25">
      <c r="B80" s="39"/>
    </row>
    <row r="81" spans="1:19" ht="18" customHeight="1" x14ac:dyDescent="0.25">
      <c r="A81" s="102" t="s">
        <v>169</v>
      </c>
      <c r="B81" s="103"/>
      <c r="C81" s="104"/>
      <c r="D81" s="104"/>
      <c r="E81" s="104"/>
      <c r="F81" s="104"/>
      <c r="G81" s="104"/>
      <c r="H81" s="104"/>
      <c r="I81" s="104"/>
      <c r="J81" s="104"/>
      <c r="K81" s="104"/>
      <c r="L81" s="104"/>
      <c r="M81" s="104"/>
      <c r="N81" s="104"/>
      <c r="O81" s="105"/>
      <c r="P81" s="44"/>
      <c r="Q81" s="45"/>
    </row>
    <row r="82" spans="1:19" ht="15" customHeight="1" x14ac:dyDescent="0.25">
      <c r="A82" s="106" t="s">
        <v>70</v>
      </c>
      <c r="B82" s="107" t="s">
        <v>68</v>
      </c>
      <c r="C82" s="108">
        <f>C75*60/C7/'Melkstand und Herde'!C11</f>
        <v>3.3056732580037662E-2</v>
      </c>
      <c r="D82" s="109">
        <f>D75*60/D7/'Melkstand und Herde'!D11</f>
        <v>0.10616760828625235</v>
      </c>
      <c r="E82" s="109">
        <f>E75*60/E7/'Melkstand und Herde'!E11</f>
        <v>0.10258272800645681</v>
      </c>
      <c r="F82" s="109">
        <f>F75*60/F7/'Melkstand und Herde'!F11</f>
        <v>9.9894067796610156E-2</v>
      </c>
      <c r="G82" s="109">
        <f>G75*60/G7/'Melkstand und Herde'!G11</f>
        <v>7.3352165725047075E-2</v>
      </c>
      <c r="H82" s="109">
        <f>H75*60/H7/'Melkstand und Herde'!H11</f>
        <v>5.7909604519774012E-2</v>
      </c>
      <c r="I82" s="109">
        <f>I75*60/I7/'Melkstand und Herde'!I11</f>
        <v>5.018832391713747E-2</v>
      </c>
      <c r="J82" s="109">
        <f>J75*60/J7/'Melkstand und Herde'!J11</f>
        <v>2.9678672316384179E-2</v>
      </c>
      <c r="K82" s="109">
        <f>K75*60/K7/'Melkstand und Herde'!K11</f>
        <v>3.3056732580037662E-2</v>
      </c>
      <c r="L82" s="109">
        <f>L75*60/L7/'Melkstand und Herde'!L11</f>
        <v>2.7346202134337728E-2</v>
      </c>
      <c r="M82" s="109">
        <f>M75*60/M7/'Melkstand und Herde'!M11</f>
        <v>3.1850282485875701E-2</v>
      </c>
      <c r="N82" s="109">
        <f>N75*60/N7/'Melkstand und Herde'!N11</f>
        <v>2.4129001883239173E-2</v>
      </c>
      <c r="O82" s="109">
        <f>O75*60/O7/'Melkstand und Herde'!O11</f>
        <v>3.0885122410546143E-2</v>
      </c>
    </row>
    <row r="83" spans="1:19" ht="15" customHeight="1" x14ac:dyDescent="0.25">
      <c r="A83" s="110" t="s">
        <v>71</v>
      </c>
      <c r="B83" s="111" t="s">
        <v>68</v>
      </c>
      <c r="C83" s="112">
        <f>C76*60/C7/'Melkstand und Herde'!C11</f>
        <v>0.79297551789077225</v>
      </c>
      <c r="D83" s="113">
        <f>D76*60/D7/'Melkstand und Herde'!D11</f>
        <v>1.1578262543158475</v>
      </c>
      <c r="E83" s="113">
        <f>E76*60/E7/'Melkstand und Herde'!E11</f>
        <v>1.1029297820823247</v>
      </c>
      <c r="F83" s="113">
        <f>F76*60/F7/'Melkstand und Herde'!F11</f>
        <v>1.0134180790960454</v>
      </c>
      <c r="G83" s="113">
        <f>G76*60/G7/'Melkstand und Herde'!G11</f>
        <v>0.99372881355932197</v>
      </c>
      <c r="H83" s="113">
        <f>H76*60/H7/'Melkstand und Herde'!H11</f>
        <v>0.895668549905838</v>
      </c>
      <c r="I83" s="113">
        <f>I76*60/I7/'Melkstand und Herde'!I11</f>
        <v>0.88601694915254248</v>
      </c>
      <c r="J83" s="113">
        <f>J76*60/J7/'Melkstand und Herde'!J11</f>
        <v>0.84113700564971761</v>
      </c>
      <c r="K83" s="113">
        <f>K76*60/K7/'Melkstand und Herde'!K11</f>
        <v>0.79297551789077225</v>
      </c>
      <c r="L83" s="113">
        <f>L76*60/L7/'Melkstand und Herde'!L11</f>
        <v>0.78242310106716872</v>
      </c>
      <c r="M83" s="113">
        <f>M76*60/M7/'Melkstand und Herde'!M11</f>
        <v>0.7427871939736348</v>
      </c>
      <c r="N83" s="113">
        <f>N76*60/N7/'Melkstand und Herde'!N11</f>
        <v>0.72966101694915275</v>
      </c>
      <c r="O83" s="113">
        <f>O76*60/O7/'Melkstand und Herde'!O11</f>
        <v>0.70263653483992494</v>
      </c>
    </row>
    <row r="84" spans="1:19" ht="15" customHeight="1" x14ac:dyDescent="0.25">
      <c r="A84" s="110" t="s">
        <v>72</v>
      </c>
      <c r="B84" s="111" t="s">
        <v>68</v>
      </c>
      <c r="C84" s="112">
        <f>C77*60/C7/'Melkstand und Herde'!C11</f>
        <v>0.19423846516007534</v>
      </c>
      <c r="D84" s="113">
        <f>D77*60/D7/'Melkstand und Herde'!D11</f>
        <v>0.69491525423728817</v>
      </c>
      <c r="E84" s="113">
        <f>E77*60/E7/'Melkstand und Herde'!E11</f>
        <v>0.66182405165456015</v>
      </c>
      <c r="F84" s="113">
        <f>F77*60/F7/'Melkstand und Herde'!F11</f>
        <v>0.63700564971751406</v>
      </c>
      <c r="G84" s="113">
        <f>G77*60/G7/'Melkstand und Herde'!G11</f>
        <v>0.4632768361581921</v>
      </c>
      <c r="H84" s="113">
        <f>H77*60/H7/'Melkstand und Herde'!H11</f>
        <v>0.36032642812303833</v>
      </c>
      <c r="I84" s="113">
        <f>I77*60/I7/'Melkstand und Herde'!I11</f>
        <v>0.3088512241054614</v>
      </c>
      <c r="J84" s="113">
        <f>J77*60/J7/'Melkstand und Herde'!J11</f>
        <v>0.174935263653484</v>
      </c>
      <c r="K84" s="113">
        <f>K77*60/K7/'Melkstand und Herde'!K11</f>
        <v>0.19423846516007534</v>
      </c>
      <c r="L84" s="113">
        <f>L77*60/L7/'Melkstand und Herde'!L11</f>
        <v>0.15603421217827998</v>
      </c>
      <c r="M84" s="113">
        <f>M77*60/M7/'Melkstand und Herde'!M11</f>
        <v>0.18177181418706842</v>
      </c>
      <c r="N84" s="113">
        <f>N77*60/N7/'Melkstand und Herde'!N11</f>
        <v>0.13319209039548024</v>
      </c>
      <c r="O84" s="113">
        <f>O77*60/O7/'Melkstand und Herde'!O11</f>
        <v>0.17179849340866291</v>
      </c>
    </row>
    <row r="85" spans="1:19" ht="15" customHeight="1" x14ac:dyDescent="0.25">
      <c r="A85" s="114" t="s">
        <v>73</v>
      </c>
      <c r="B85" s="115" t="s">
        <v>68</v>
      </c>
      <c r="C85" s="116">
        <f>C78*60/C7/'Melkstand und Herde'!C11</f>
        <v>0.25913273460708508</v>
      </c>
      <c r="D85" s="117">
        <f>D78*60/D7/'Melkstand und Herde'!D11</f>
        <v>0.29914800033217548</v>
      </c>
      <c r="E85" s="117">
        <f>E78*60/E7/'Melkstand und Herde'!E11</f>
        <v>0.29812695966847014</v>
      </c>
      <c r="F85" s="117">
        <f>F78*60/F7/'Melkstand und Herde'!F11</f>
        <v>0.29710940398222019</v>
      </c>
      <c r="G85" s="117">
        <f>G78*60/G7/'Melkstand und Herde'!G11</f>
        <v>0.29307379372405423</v>
      </c>
      <c r="H85" s="117">
        <f>H78*60/H7/'Melkstand und Herde'!H11</f>
        <v>0.28712292401230921</v>
      </c>
      <c r="I85" s="117">
        <f>I78*60/I7/'Melkstand und Herde'!I11</f>
        <v>0.2812928868385956</v>
      </c>
      <c r="J85" s="117">
        <f>J78*60/J7/'Melkstand und Herde'!J11</f>
        <v>0.25913273460708508</v>
      </c>
      <c r="K85" s="117">
        <f>K78*60/K7/'Melkstand und Herde'!K11</f>
        <v>0.25913273460708508</v>
      </c>
      <c r="L85" s="117">
        <f>L78*60/L7/'Melkstand und Herde'!L11</f>
        <v>0.23871835118061904</v>
      </c>
      <c r="M85" s="117">
        <f>M78*60/M7/'Melkstand und Herde'!M11</f>
        <v>0.23871835118061904</v>
      </c>
      <c r="N85" s="117">
        <f>N78*60/N7/'Melkstand und Herde'!N11</f>
        <v>0.20258760123960007</v>
      </c>
      <c r="O85" s="117">
        <f>O78*60/O7/'Melkstand und Herde'!O11</f>
        <v>0.20258760123960007</v>
      </c>
    </row>
    <row r="86" spans="1:19" s="8" customFormat="1" ht="18" customHeight="1" x14ac:dyDescent="0.25">
      <c r="A86" s="118" t="s">
        <v>74</v>
      </c>
      <c r="B86" s="122" t="s">
        <v>68</v>
      </c>
      <c r="C86" s="123">
        <f t="shared" ref="C86:D86" si="42">SUM(C82:C85)</f>
        <v>1.2794034502379703</v>
      </c>
      <c r="D86" s="124">
        <f t="shared" si="42"/>
        <v>2.2580571171715635</v>
      </c>
      <c r="E86" s="124">
        <f t="shared" ref="E86:O86" si="43">SUM(E82:E85)</f>
        <v>2.1654635214118119</v>
      </c>
      <c r="F86" s="124">
        <f t="shared" si="43"/>
        <v>2.0474272005923897</v>
      </c>
      <c r="G86" s="124">
        <f t="shared" si="43"/>
        <v>1.8234316091666152</v>
      </c>
      <c r="H86" s="124">
        <f t="shared" si="43"/>
        <v>1.6010275065609596</v>
      </c>
      <c r="I86" s="124">
        <f t="shared" si="43"/>
        <v>1.526349384013737</v>
      </c>
      <c r="J86" s="124">
        <f t="shared" si="43"/>
        <v>1.3048836762266709</v>
      </c>
      <c r="K86" s="124">
        <f t="shared" si="43"/>
        <v>1.2794034502379703</v>
      </c>
      <c r="L86" s="124">
        <f t="shared" si="43"/>
        <v>1.2045218665604054</v>
      </c>
      <c r="M86" s="124">
        <f t="shared" si="43"/>
        <v>1.1951276418271981</v>
      </c>
      <c r="N86" s="124">
        <f t="shared" si="43"/>
        <v>1.0895697104674724</v>
      </c>
      <c r="O86" s="124">
        <f t="shared" si="43"/>
        <v>1.1079077518987341</v>
      </c>
    </row>
    <row r="87" spans="1:19" s="94" customFormat="1" ht="9.75" customHeight="1" x14ac:dyDescent="0.25">
      <c r="B87" s="39"/>
    </row>
    <row r="88" spans="1:19" ht="18" customHeight="1" x14ac:dyDescent="0.25">
      <c r="A88" s="102" t="s">
        <v>170</v>
      </c>
      <c r="B88" s="103"/>
      <c r="C88" s="104"/>
      <c r="D88" s="104"/>
      <c r="E88" s="104"/>
      <c r="F88" s="104"/>
      <c r="G88" s="104"/>
      <c r="H88" s="104"/>
      <c r="I88" s="104"/>
      <c r="J88" s="104"/>
      <c r="K88" s="104"/>
      <c r="L88" s="104"/>
      <c r="M88" s="104"/>
      <c r="N88" s="104"/>
      <c r="O88" s="105"/>
      <c r="P88" s="44"/>
      <c r="Q88" s="45"/>
    </row>
    <row r="89" spans="1:19" ht="15" customHeight="1" x14ac:dyDescent="0.25">
      <c r="A89" s="106" t="s">
        <v>70</v>
      </c>
      <c r="B89" s="107" t="s">
        <v>171</v>
      </c>
      <c r="C89" s="108">
        <f t="shared" ref="C89:O89" si="44">C75*365/C4</f>
        <v>0.34725694444444444</v>
      </c>
      <c r="D89" s="109">
        <f t="shared" si="44"/>
        <v>1.1152777777777776</v>
      </c>
      <c r="E89" s="109">
        <f t="shared" si="44"/>
        <v>1.0776190476190475</v>
      </c>
      <c r="F89" s="109">
        <f t="shared" si="44"/>
        <v>1.0493749999999999</v>
      </c>
      <c r="G89" s="109">
        <f t="shared" si="44"/>
        <v>0.77055555555555544</v>
      </c>
      <c r="H89" s="109">
        <f t="shared" si="44"/>
        <v>0.60833333333333328</v>
      </c>
      <c r="I89" s="109">
        <f t="shared" si="44"/>
        <v>0.52722222222222215</v>
      </c>
      <c r="J89" s="109">
        <f t="shared" si="44"/>
        <v>0.31177083333333327</v>
      </c>
      <c r="K89" s="109">
        <f t="shared" si="44"/>
        <v>0.34725694444444444</v>
      </c>
      <c r="L89" s="109">
        <f t="shared" si="44"/>
        <v>0.28726851851851848</v>
      </c>
      <c r="M89" s="109">
        <f t="shared" si="44"/>
        <v>0.33458333333333329</v>
      </c>
      <c r="N89" s="109">
        <f t="shared" si="44"/>
        <v>0.25347222222222227</v>
      </c>
      <c r="O89" s="109">
        <f t="shared" si="44"/>
        <v>0.32444444444444442</v>
      </c>
    </row>
    <row r="90" spans="1:19" ht="15" customHeight="1" x14ac:dyDescent="0.25">
      <c r="A90" s="110" t="s">
        <v>71</v>
      </c>
      <c r="B90" s="111" t="s">
        <v>171</v>
      </c>
      <c r="C90" s="112">
        <f t="shared" ref="C90:O90" si="45">C76*365/C4</f>
        <v>8.3301111111111119</v>
      </c>
      <c r="D90" s="113">
        <f t="shared" si="45"/>
        <v>12.162823603264281</v>
      </c>
      <c r="E90" s="113">
        <f t="shared" si="45"/>
        <v>11.58614285714286</v>
      </c>
      <c r="F90" s="113">
        <f t="shared" si="45"/>
        <v>10.645833333333336</v>
      </c>
      <c r="G90" s="113">
        <f t="shared" si="45"/>
        <v>10.439</v>
      </c>
      <c r="H90" s="113">
        <f t="shared" si="45"/>
        <v>9.4088888888888889</v>
      </c>
      <c r="I90" s="113">
        <f t="shared" si="45"/>
        <v>9.307500000000001</v>
      </c>
      <c r="J90" s="113">
        <f t="shared" si="45"/>
        <v>8.8360416666666666</v>
      </c>
      <c r="K90" s="113">
        <f t="shared" si="45"/>
        <v>8.3301111111111119</v>
      </c>
      <c r="L90" s="113">
        <f t="shared" si="45"/>
        <v>8.2192592592592586</v>
      </c>
      <c r="M90" s="113">
        <f t="shared" si="45"/>
        <v>7.8028888888888899</v>
      </c>
      <c r="N90" s="113">
        <f t="shared" si="45"/>
        <v>7.6650000000000018</v>
      </c>
      <c r="O90" s="113">
        <f t="shared" si="45"/>
        <v>7.381111111111113</v>
      </c>
    </row>
    <row r="91" spans="1:19" ht="15" customHeight="1" x14ac:dyDescent="0.25">
      <c r="A91" s="110" t="s">
        <v>72</v>
      </c>
      <c r="B91" s="111" t="s">
        <v>171</v>
      </c>
      <c r="C91" s="112">
        <f t="shared" ref="C91:O91" si="46">C77*365/C4</f>
        <v>2.0404513888888887</v>
      </c>
      <c r="D91" s="113">
        <f t="shared" si="46"/>
        <v>7.3</v>
      </c>
      <c r="E91" s="113">
        <f t="shared" si="46"/>
        <v>6.9523809523809517</v>
      </c>
      <c r="F91" s="113">
        <f t="shared" si="46"/>
        <v>6.6916666666666655</v>
      </c>
      <c r="G91" s="113">
        <f t="shared" si="46"/>
        <v>4.8666666666666663</v>
      </c>
      <c r="H91" s="113">
        <f t="shared" si="46"/>
        <v>3.7851851851851852</v>
      </c>
      <c r="I91" s="113">
        <f t="shared" si="46"/>
        <v>3.2444444444444445</v>
      </c>
      <c r="J91" s="113">
        <f t="shared" si="46"/>
        <v>1.8376736111111109</v>
      </c>
      <c r="K91" s="113">
        <f t="shared" si="46"/>
        <v>2.0404513888888887</v>
      </c>
      <c r="L91" s="113">
        <f t="shared" si="46"/>
        <v>1.6391203703703705</v>
      </c>
      <c r="M91" s="113">
        <f t="shared" si="46"/>
        <v>1.9094907407407407</v>
      </c>
      <c r="N91" s="113">
        <f t="shared" si="46"/>
        <v>1.3991666666666664</v>
      </c>
      <c r="O91" s="113">
        <f t="shared" si="46"/>
        <v>1.8047222222222226</v>
      </c>
    </row>
    <row r="92" spans="1:19" ht="15" customHeight="1" x14ac:dyDescent="0.25">
      <c r="A92" s="114" t="s">
        <v>73</v>
      </c>
      <c r="B92" s="115" t="s">
        <v>171</v>
      </c>
      <c r="C92" s="116">
        <f t="shared" ref="C92:O92" si="47">C78*365/C4</f>
        <v>2.7221577754944284</v>
      </c>
      <c r="D92" s="117">
        <f t="shared" si="47"/>
        <v>3.1425132620260481</v>
      </c>
      <c r="E92" s="117">
        <f t="shared" si="47"/>
        <v>3.1317873543709775</v>
      </c>
      <c r="F92" s="117">
        <f t="shared" si="47"/>
        <v>3.1210980559790791</v>
      </c>
      <c r="G92" s="117">
        <f t="shared" si="47"/>
        <v>3.0787044623646382</v>
      </c>
      <c r="H92" s="117">
        <f t="shared" si="47"/>
        <v>3.0161913017585746</v>
      </c>
      <c r="I92" s="117">
        <f t="shared" si="47"/>
        <v>2.9549474722288571</v>
      </c>
      <c r="J92" s="117">
        <f t="shared" si="47"/>
        <v>2.7221577754944284</v>
      </c>
      <c r="K92" s="117">
        <f t="shared" si="47"/>
        <v>2.7221577754944284</v>
      </c>
      <c r="L92" s="117">
        <f t="shared" si="47"/>
        <v>2.5077071671583564</v>
      </c>
      <c r="M92" s="117">
        <f t="shared" si="47"/>
        <v>2.5077071671583564</v>
      </c>
      <c r="N92" s="117">
        <f t="shared" si="47"/>
        <v>2.1281580452169693</v>
      </c>
      <c r="O92" s="117">
        <f t="shared" si="47"/>
        <v>2.1281580452169693</v>
      </c>
    </row>
    <row r="93" spans="1:19" s="8" customFormat="1" ht="18" customHeight="1" x14ac:dyDescent="0.25">
      <c r="A93" s="118" t="s">
        <v>74</v>
      </c>
      <c r="B93" s="119" t="s">
        <v>171</v>
      </c>
      <c r="C93" s="120">
        <f t="shared" ref="C93:D93" si="48">SUM(C89:C92)</f>
        <v>13.439977219938873</v>
      </c>
      <c r="D93" s="121">
        <f t="shared" si="48"/>
        <v>23.720614643068103</v>
      </c>
      <c r="E93" s="121">
        <f t="shared" ref="E93:O93" si="49">SUM(E89:E92)</f>
        <v>22.747930211513836</v>
      </c>
      <c r="F93" s="121">
        <f t="shared" si="49"/>
        <v>21.507973055979079</v>
      </c>
      <c r="G93" s="121">
        <f t="shared" si="49"/>
        <v>19.154926684586858</v>
      </c>
      <c r="H93" s="121">
        <f t="shared" si="49"/>
        <v>16.818598709165983</v>
      </c>
      <c r="I93" s="121">
        <f t="shared" si="49"/>
        <v>16.034114138895525</v>
      </c>
      <c r="J93" s="121">
        <f t="shared" si="49"/>
        <v>13.70764388660554</v>
      </c>
      <c r="K93" s="121">
        <f t="shared" si="49"/>
        <v>13.439977219938873</v>
      </c>
      <c r="L93" s="121">
        <f t="shared" si="49"/>
        <v>12.653355315306504</v>
      </c>
      <c r="M93" s="121">
        <f t="shared" si="49"/>
        <v>12.554670130121321</v>
      </c>
      <c r="N93" s="121">
        <f t="shared" si="49"/>
        <v>11.445796934105859</v>
      </c>
      <c r="O93" s="121">
        <f t="shared" si="49"/>
        <v>11.638435822994749</v>
      </c>
    </row>
    <row r="94" spans="1:19" ht="9.75" customHeight="1" x14ac:dyDescent="0.25">
      <c r="A94" s="125"/>
      <c r="B94" s="126"/>
      <c r="C94" s="127"/>
      <c r="D94" s="128"/>
      <c r="E94" s="128"/>
      <c r="F94" s="128"/>
      <c r="G94" s="128"/>
      <c r="H94" s="128"/>
      <c r="I94" s="128"/>
      <c r="J94" s="128"/>
      <c r="K94" s="128"/>
      <c r="L94" s="128"/>
      <c r="M94" s="128"/>
      <c r="N94" s="128"/>
      <c r="O94" s="129"/>
    </row>
    <row r="95" spans="1:19" ht="15" customHeight="1" x14ac:dyDescent="0.25">
      <c r="A95" s="75" t="s">
        <v>173</v>
      </c>
      <c r="B95" s="130" t="s">
        <v>172</v>
      </c>
      <c r="C95" s="131">
        <f t="shared" ref="C95:O95" si="50">C7*C10/C79</f>
        <v>46.896856491077884</v>
      </c>
      <c r="D95" s="132">
        <f t="shared" si="50"/>
        <v>26.571515637813381</v>
      </c>
      <c r="E95" s="132">
        <f t="shared" si="50"/>
        <v>27.707693713945343</v>
      </c>
      <c r="F95" s="132">
        <f t="shared" si="50"/>
        <v>29.305071253639678</v>
      </c>
      <c r="G95" s="132">
        <f t="shared" si="50"/>
        <v>32.904990622281964</v>
      </c>
      <c r="H95" s="132">
        <f t="shared" si="50"/>
        <v>37.475933270429088</v>
      </c>
      <c r="I95" s="132">
        <f t="shared" si="50"/>
        <v>39.309479617453036</v>
      </c>
      <c r="J95" s="132">
        <f t="shared" si="50"/>
        <v>45.981110112053713</v>
      </c>
      <c r="K95" s="132">
        <f t="shared" si="50"/>
        <v>46.896856491077884</v>
      </c>
      <c r="L95" s="132">
        <f t="shared" si="50"/>
        <v>49.812296202919171</v>
      </c>
      <c r="M95" s="132">
        <f t="shared" si="50"/>
        <v>50.203842585606715</v>
      </c>
      <c r="N95" s="132">
        <f t="shared" si="50"/>
        <v>55.067610106614872</v>
      </c>
      <c r="O95" s="132">
        <f t="shared" si="50"/>
        <v>54.156133393932762</v>
      </c>
      <c r="P95" s="44"/>
      <c r="Q95" s="44"/>
      <c r="R95" s="44"/>
      <c r="S95" s="44"/>
    </row>
  </sheetData>
  <sheetProtection password="CDE3" sheet="1" objects="1" scenarios="1"/>
  <phoneticPr fontId="8" type="noConversion"/>
  <conditionalFormatting sqref="D41:O42">
    <cfRule type="cellIs" dxfId="37" priority="6" stopIfTrue="1" operator="equal">
      <formula>0</formula>
    </cfRule>
  </conditionalFormatting>
  <conditionalFormatting sqref="C41:C42">
    <cfRule type="cellIs" dxfId="36" priority="1" stopIfTrue="1" operator="equal">
      <formula>0</formula>
    </cfRule>
  </conditionalFormatting>
  <printOptions horizontalCentered="1"/>
  <pageMargins left="0.78740157480314965" right="0.78740157480314965" top="0.98425196850393704" bottom="0.98425196850393704" header="0.51181102362204722" footer="0.51181102362204722"/>
  <pageSetup paperSize="9" scale="61" fitToHeight="2" orientation="landscape" r:id="rId1"/>
  <headerFooter alignWithMargins="0">
    <oddHeader>&amp;C&amp;F
&amp;A</oddHeader>
    <oddFooter>Seite &amp;P von &amp;N</oddFooter>
  </headerFooter>
  <rowBreaks count="1" manualBreakCount="1">
    <brk id="5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5"/>
    <pageSetUpPr fitToPage="1"/>
  </sheetPr>
  <dimension ref="A1:O25"/>
  <sheetViews>
    <sheetView zoomScaleNormal="100" workbookViewId="0">
      <pane xSplit="1" ySplit="3" topLeftCell="B4" activePane="bottomRight" state="frozen"/>
      <selection activeCell="C5" sqref="C5"/>
      <selection pane="topRight" activeCell="C5" sqref="C5"/>
      <selection pane="bottomLeft" activeCell="C5" sqref="C5"/>
      <selection pane="bottomRight" activeCell="C33" sqref="C33"/>
    </sheetView>
  </sheetViews>
  <sheetFormatPr baseColWidth="10" defaultColWidth="11.42578125" defaultRowHeight="12.75" x14ac:dyDescent="0.25"/>
  <cols>
    <col min="1" max="1" width="45.7109375" style="12" customWidth="1"/>
    <col min="2" max="2" width="10.28515625" style="165" customWidth="1"/>
    <col min="3" max="15" width="11.7109375" style="12" customWidth="1"/>
    <col min="16" max="16" width="11.42578125" style="12"/>
    <col min="17" max="17" width="20.7109375" style="12" customWidth="1"/>
    <col min="18" max="16384" width="11.42578125" style="12"/>
  </cols>
  <sheetData>
    <row r="1" spans="1:15" s="2" customFormat="1" ht="30" customHeight="1" x14ac:dyDescent="0.25">
      <c r="A1" s="2" t="s">
        <v>226</v>
      </c>
      <c r="B1" s="157"/>
    </row>
    <row r="2" spans="1:15" ht="18" customHeight="1" x14ac:dyDescent="0.25">
      <c r="A2" s="135" t="s">
        <v>175</v>
      </c>
      <c r="B2" s="158"/>
      <c r="C2" s="136" t="str">
        <f>'Melkstand und Herde'!C2</f>
        <v>offen</v>
      </c>
      <c r="D2" s="136">
        <f>'Melkstand und Herde'!D2</f>
        <v>1</v>
      </c>
      <c r="E2" s="136">
        <f>'Melkstand und Herde'!E2</f>
        <v>2</v>
      </c>
      <c r="F2" s="136">
        <f>'Melkstand und Herde'!F2</f>
        <v>3</v>
      </c>
      <c r="G2" s="136">
        <f>'Melkstand und Herde'!G2</f>
        <v>4</v>
      </c>
      <c r="H2" s="136">
        <f>'Melkstand und Herde'!H2</f>
        <v>5</v>
      </c>
      <c r="I2" s="136">
        <f>'Melkstand und Herde'!I2</f>
        <v>6</v>
      </c>
      <c r="J2" s="136">
        <f>'Melkstand und Herde'!J2</f>
        <v>7</v>
      </c>
      <c r="K2" s="136">
        <f>'Melkstand und Herde'!K2</f>
        <v>8</v>
      </c>
      <c r="L2" s="136">
        <f>'Melkstand und Herde'!L2</f>
        <v>9</v>
      </c>
      <c r="M2" s="136">
        <f>'Melkstand und Herde'!M2</f>
        <v>10</v>
      </c>
      <c r="N2" s="136">
        <f>'Melkstand und Herde'!N2</f>
        <v>11</v>
      </c>
      <c r="O2" s="136">
        <f>'Melkstand und Herde'!O2</f>
        <v>12</v>
      </c>
    </row>
    <row r="3" spans="1:15" s="8" customFormat="1" ht="15" customHeight="1" x14ac:dyDescent="0.25">
      <c r="A3" s="159" t="s">
        <v>56</v>
      </c>
      <c r="B3" s="160"/>
      <c r="C3" s="161" t="str">
        <f>'Melkstand und Herde'!C3</f>
        <v>SbS 2X16</v>
      </c>
      <c r="D3" s="161" t="str">
        <f>'Melkstand und Herde'!D3</f>
        <v>FGM 2 x 5</v>
      </c>
      <c r="E3" s="161" t="str">
        <f>'Melkstand und Herde'!E3</f>
        <v>FGM 2 x 6</v>
      </c>
      <c r="F3" s="161" t="str">
        <f>'Melkstand und Herde'!F3</f>
        <v>FGM 2 x 7</v>
      </c>
      <c r="G3" s="161" t="str">
        <f>'Melkstand und Herde'!G3</f>
        <v xml:space="preserve">FGM 2 x 8 </v>
      </c>
      <c r="H3" s="161" t="str">
        <f>'Melkstand und Herde'!H3</f>
        <v>FGM 2 x 10</v>
      </c>
      <c r="I3" s="161" t="str">
        <f>'Melkstand und Herde'!I3</f>
        <v>FGM 2 x 12</v>
      </c>
      <c r="J3" s="161" t="str">
        <f>'Melkstand und Herde'!J3</f>
        <v>SbS 2 x 14</v>
      </c>
      <c r="K3" s="161" t="str">
        <f>'Melkstand und Herde'!K3</f>
        <v>SbS 2 x 16</v>
      </c>
      <c r="L3" s="161" t="str">
        <f>'Melkstand und Herde'!L3</f>
        <v>SbS 2 x 20</v>
      </c>
      <c r="M3" s="161" t="str">
        <f>'Melkstand und Herde'!M3</f>
        <v>SbS 2 x 24</v>
      </c>
      <c r="N3" s="161" t="str">
        <f>'Melkstand und Herde'!N3</f>
        <v>Sbs 2 x 30</v>
      </c>
      <c r="O3" s="161" t="str">
        <f>'Melkstand und Herde'!O3</f>
        <v>SbS 2 x 40</v>
      </c>
    </row>
    <row r="4" spans="1:15" ht="15" customHeight="1" x14ac:dyDescent="0.25">
      <c r="A4" s="162" t="s">
        <v>190</v>
      </c>
      <c r="B4" s="163"/>
      <c r="C4" s="164">
        <f>'Melkstand und Herde'!C7</f>
        <v>414.4390243902439</v>
      </c>
      <c r="D4" s="164">
        <f>'Melkstand und Herde'!D7</f>
        <v>51.804878048780488</v>
      </c>
      <c r="E4" s="164">
        <f>'Melkstand und Herde'!E7</f>
        <v>60.439024390243901</v>
      </c>
      <c r="F4" s="164">
        <f>'Melkstand und Herde'!F7</f>
        <v>69.073170731707322</v>
      </c>
      <c r="G4" s="164">
        <f>'Melkstand und Herde'!G7</f>
        <v>103.60975609756098</v>
      </c>
      <c r="H4" s="164">
        <f>'Melkstand und Herde'!H7</f>
        <v>155.41463414634146</v>
      </c>
      <c r="I4" s="164">
        <f>'Melkstand und Herde'!I7</f>
        <v>207.21951219512195</v>
      </c>
      <c r="J4" s="164">
        <f>'Melkstand und Herde'!J7</f>
        <v>414.4390243902439</v>
      </c>
      <c r="K4" s="164">
        <f>'Melkstand und Herde'!K7</f>
        <v>414.4390243902439</v>
      </c>
      <c r="L4" s="164">
        <f>'Melkstand und Herde'!L7</f>
        <v>621.65853658536582</v>
      </c>
      <c r="M4" s="164">
        <f>'Melkstand und Herde'!M7</f>
        <v>621.65853658536582</v>
      </c>
      <c r="N4" s="164">
        <f>'Melkstand und Herde'!N7</f>
        <v>1036.0975609756097</v>
      </c>
      <c r="O4" s="164">
        <f>'Melkstand und Herde'!O7</f>
        <v>1036.0975609756097</v>
      </c>
    </row>
    <row r="5" spans="1:15" ht="6.95" customHeight="1" x14ac:dyDescent="0.25">
      <c r="A5" s="70"/>
      <c r="C5" s="166"/>
      <c r="D5" s="166"/>
    </row>
    <row r="6" spans="1:15" ht="18" customHeight="1" x14ac:dyDescent="0.25">
      <c r="A6" s="167" t="s">
        <v>214</v>
      </c>
      <c r="B6" s="168"/>
      <c r="C6" s="169"/>
      <c r="D6" s="169"/>
      <c r="E6" s="170"/>
      <c r="F6" s="170"/>
      <c r="G6" s="170"/>
      <c r="H6" s="170"/>
      <c r="I6" s="170"/>
      <c r="J6" s="170"/>
      <c r="K6" s="170"/>
      <c r="L6" s="170"/>
      <c r="M6" s="170"/>
      <c r="N6" s="170"/>
      <c r="O6" s="171"/>
    </row>
    <row r="7" spans="1:15" ht="18" customHeight="1" x14ac:dyDescent="0.25">
      <c r="A7" s="172" t="s">
        <v>52</v>
      </c>
      <c r="B7" s="173"/>
      <c r="C7" s="174"/>
      <c r="D7" s="174"/>
      <c r="E7" s="175"/>
      <c r="F7" s="175"/>
      <c r="G7" s="175"/>
      <c r="H7" s="175"/>
      <c r="I7" s="175"/>
      <c r="J7" s="175"/>
      <c r="K7" s="175"/>
      <c r="L7" s="175"/>
      <c r="M7" s="175"/>
      <c r="N7" s="175"/>
      <c r="O7" s="176"/>
    </row>
    <row r="8" spans="1:15" ht="15" customHeight="1" x14ac:dyDescent="0.25">
      <c r="A8" s="80" t="s">
        <v>46</v>
      </c>
      <c r="B8" s="63" t="s">
        <v>156</v>
      </c>
      <c r="C8" s="177">
        <f>Arbeitszeit!C14*Arbeitszeit!C16</f>
        <v>32</v>
      </c>
      <c r="D8" s="101">
        <f>Arbeitszeit!D14*Arbeitszeit!D16</f>
        <v>10</v>
      </c>
      <c r="E8" s="101">
        <f>Arbeitszeit!E14*Arbeitszeit!E16</f>
        <v>12</v>
      </c>
      <c r="F8" s="101">
        <f>Arbeitszeit!F14*Arbeitszeit!F16</f>
        <v>14</v>
      </c>
      <c r="G8" s="101">
        <f>Arbeitszeit!G14*Arbeitszeit!G16</f>
        <v>16</v>
      </c>
      <c r="H8" s="101">
        <f>Arbeitszeit!H14*Arbeitszeit!H16</f>
        <v>20</v>
      </c>
      <c r="I8" s="101">
        <f>Arbeitszeit!I14*Arbeitszeit!I16</f>
        <v>24</v>
      </c>
      <c r="J8" s="101">
        <f>Arbeitszeit!J14*Arbeitszeit!J16</f>
        <v>28</v>
      </c>
      <c r="K8" s="101">
        <f>Arbeitszeit!K14*Arbeitszeit!K16</f>
        <v>32</v>
      </c>
      <c r="L8" s="101">
        <f>Arbeitszeit!L14*Arbeitszeit!L16</f>
        <v>40</v>
      </c>
      <c r="M8" s="101">
        <f>Arbeitszeit!M14*Arbeitszeit!M16</f>
        <v>48</v>
      </c>
      <c r="N8" s="101">
        <f>Arbeitszeit!N14*Arbeitszeit!N16</f>
        <v>60</v>
      </c>
      <c r="O8" s="101">
        <f>Arbeitszeit!O14*Arbeitszeit!O16</f>
        <v>80</v>
      </c>
    </row>
    <row r="9" spans="1:15" ht="15" customHeight="1" x14ac:dyDescent="0.25">
      <c r="A9" s="83" t="s">
        <v>49</v>
      </c>
      <c r="B9" s="67" t="s">
        <v>8</v>
      </c>
      <c r="C9" s="178">
        <v>1</v>
      </c>
      <c r="D9" s="57">
        <v>1.1000000000000001</v>
      </c>
      <c r="E9" s="57">
        <v>1.1000000000000001</v>
      </c>
      <c r="F9" s="57">
        <v>1.1000000000000001</v>
      </c>
      <c r="G9" s="57">
        <v>1.1000000000000001</v>
      </c>
      <c r="H9" s="57">
        <v>1.1000000000000001</v>
      </c>
      <c r="I9" s="57">
        <v>1.1000000000000001</v>
      </c>
      <c r="J9" s="57">
        <v>1</v>
      </c>
      <c r="K9" s="57">
        <v>1</v>
      </c>
      <c r="L9" s="57">
        <v>1</v>
      </c>
      <c r="M9" s="57">
        <v>1</v>
      </c>
      <c r="N9" s="57">
        <v>1</v>
      </c>
      <c r="O9" s="57">
        <v>1</v>
      </c>
    </row>
    <row r="10" spans="1:15" ht="15" customHeight="1" x14ac:dyDescent="0.25">
      <c r="A10" s="83" t="s">
        <v>50</v>
      </c>
      <c r="B10" s="67" t="s">
        <v>8</v>
      </c>
      <c r="C10" s="178">
        <v>1.5</v>
      </c>
      <c r="D10" s="57">
        <v>1.5</v>
      </c>
      <c r="E10" s="57">
        <v>1.5</v>
      </c>
      <c r="F10" s="57">
        <v>1.5</v>
      </c>
      <c r="G10" s="57">
        <v>1.5</v>
      </c>
      <c r="H10" s="57">
        <v>1.5</v>
      </c>
      <c r="I10" s="57">
        <v>1.5</v>
      </c>
      <c r="J10" s="57">
        <v>1.5</v>
      </c>
      <c r="K10" s="57">
        <v>1.5</v>
      </c>
      <c r="L10" s="57">
        <v>1.5</v>
      </c>
      <c r="M10" s="57">
        <v>1.5</v>
      </c>
      <c r="N10" s="57">
        <v>1.5</v>
      </c>
      <c r="O10" s="57">
        <v>1.5</v>
      </c>
    </row>
    <row r="11" spans="1:15" ht="15" customHeight="1" x14ac:dyDescent="0.25">
      <c r="A11" s="83" t="s">
        <v>45</v>
      </c>
      <c r="B11" s="67" t="s">
        <v>8</v>
      </c>
      <c r="C11" s="179">
        <f>C8*C9+2*C10</f>
        <v>35</v>
      </c>
      <c r="D11" s="57">
        <f>D8*D9+2*D10</f>
        <v>14</v>
      </c>
      <c r="E11" s="57">
        <f t="shared" ref="E11:O11" si="0">E8*E9+2*E10</f>
        <v>16.200000000000003</v>
      </c>
      <c r="F11" s="57">
        <f t="shared" si="0"/>
        <v>18.400000000000002</v>
      </c>
      <c r="G11" s="57">
        <f t="shared" si="0"/>
        <v>20.6</v>
      </c>
      <c r="H11" s="57">
        <f t="shared" si="0"/>
        <v>25</v>
      </c>
      <c r="I11" s="57">
        <f t="shared" si="0"/>
        <v>29.400000000000002</v>
      </c>
      <c r="J11" s="57">
        <f t="shared" si="0"/>
        <v>31</v>
      </c>
      <c r="K11" s="57">
        <f t="shared" si="0"/>
        <v>35</v>
      </c>
      <c r="L11" s="57">
        <f t="shared" si="0"/>
        <v>43</v>
      </c>
      <c r="M11" s="57">
        <f t="shared" si="0"/>
        <v>51</v>
      </c>
      <c r="N11" s="57">
        <f t="shared" si="0"/>
        <v>63</v>
      </c>
      <c r="O11" s="57">
        <f t="shared" si="0"/>
        <v>83</v>
      </c>
    </row>
    <row r="12" spans="1:15" ht="15" customHeight="1" x14ac:dyDescent="0.25">
      <c r="A12" s="83" t="s">
        <v>150</v>
      </c>
      <c r="B12" s="67" t="s">
        <v>48</v>
      </c>
      <c r="C12" s="32">
        <v>75</v>
      </c>
      <c r="D12" s="33">
        <v>50</v>
      </c>
      <c r="E12" s="33">
        <v>50</v>
      </c>
      <c r="F12" s="33">
        <v>50</v>
      </c>
      <c r="G12" s="33">
        <v>50</v>
      </c>
      <c r="H12" s="33">
        <v>50</v>
      </c>
      <c r="I12" s="33">
        <v>50</v>
      </c>
      <c r="J12" s="33">
        <v>50</v>
      </c>
      <c r="K12" s="33">
        <v>75</v>
      </c>
      <c r="L12" s="33">
        <v>75</v>
      </c>
      <c r="M12" s="33">
        <v>75</v>
      </c>
      <c r="N12" s="33">
        <v>75</v>
      </c>
      <c r="O12" s="33">
        <v>75</v>
      </c>
    </row>
    <row r="13" spans="1:15" ht="15" customHeight="1" x14ac:dyDescent="0.25">
      <c r="A13" s="83" t="s">
        <v>47</v>
      </c>
      <c r="B13" s="67" t="s">
        <v>156</v>
      </c>
      <c r="C13" s="32">
        <v>1</v>
      </c>
      <c r="D13" s="33">
        <v>1</v>
      </c>
      <c r="E13" s="33">
        <v>1</v>
      </c>
      <c r="F13" s="33">
        <v>1</v>
      </c>
      <c r="G13" s="33">
        <v>1</v>
      </c>
      <c r="H13" s="33">
        <v>1</v>
      </c>
      <c r="I13" s="33">
        <v>1</v>
      </c>
      <c r="J13" s="33">
        <v>1</v>
      </c>
      <c r="K13" s="33">
        <v>1</v>
      </c>
      <c r="L13" s="33">
        <v>1</v>
      </c>
      <c r="M13" s="33">
        <v>1</v>
      </c>
      <c r="N13" s="33">
        <v>2</v>
      </c>
      <c r="O13" s="33">
        <v>2</v>
      </c>
    </row>
    <row r="14" spans="1:15" ht="15" customHeight="1" x14ac:dyDescent="0.25">
      <c r="A14" s="83" t="s">
        <v>191</v>
      </c>
      <c r="B14" s="67" t="s">
        <v>8</v>
      </c>
      <c r="C14" s="32">
        <v>30</v>
      </c>
      <c r="D14" s="33">
        <v>20</v>
      </c>
      <c r="E14" s="33">
        <v>20</v>
      </c>
      <c r="F14" s="33">
        <v>20</v>
      </c>
      <c r="G14" s="33">
        <v>20</v>
      </c>
      <c r="H14" s="33">
        <v>25</v>
      </c>
      <c r="I14" s="33">
        <v>25</v>
      </c>
      <c r="J14" s="33">
        <v>30</v>
      </c>
      <c r="K14" s="33">
        <v>30</v>
      </c>
      <c r="L14" s="33">
        <v>35</v>
      </c>
      <c r="M14" s="33">
        <v>40</v>
      </c>
      <c r="N14" s="33">
        <v>45</v>
      </c>
      <c r="O14" s="33">
        <v>50</v>
      </c>
    </row>
    <row r="15" spans="1:15" ht="15" customHeight="1" x14ac:dyDescent="0.25">
      <c r="A15" s="85" t="s">
        <v>151</v>
      </c>
      <c r="B15" s="86" t="s">
        <v>48</v>
      </c>
      <c r="C15" s="36">
        <v>50</v>
      </c>
      <c r="D15" s="37">
        <v>38</v>
      </c>
      <c r="E15" s="37">
        <v>38</v>
      </c>
      <c r="F15" s="37">
        <v>38</v>
      </c>
      <c r="G15" s="37">
        <v>38</v>
      </c>
      <c r="H15" s="37">
        <v>50</v>
      </c>
      <c r="I15" s="37">
        <v>50</v>
      </c>
      <c r="J15" s="37">
        <v>50</v>
      </c>
      <c r="K15" s="37">
        <v>50</v>
      </c>
      <c r="L15" s="37">
        <v>50</v>
      </c>
      <c r="M15" s="37">
        <v>50</v>
      </c>
      <c r="N15" s="37">
        <v>50</v>
      </c>
      <c r="O15" s="37">
        <v>50</v>
      </c>
    </row>
    <row r="16" spans="1:15" ht="15" customHeight="1" x14ac:dyDescent="0.25">
      <c r="A16" s="62" t="s">
        <v>192</v>
      </c>
      <c r="B16" s="63" t="s">
        <v>193</v>
      </c>
      <c r="C16" s="64">
        <f>C8*0.3+C11*C12/1000*3.14159265359+C13*0.61+2*C14*C15/1000*3.14159265369</f>
        <v>27.881458676743748</v>
      </c>
      <c r="D16" s="65">
        <f>D8*0.3+D11*D12/1000*3.14159265359+D13*0.61+2*D14*D15/1000*3.14159265369</f>
        <v>10.584335691121801</v>
      </c>
      <c r="E16" s="65">
        <f t="shared" ref="E16" si="1">E8*0.3+E11*E12/1000*3.14159265359+E13*0.61+2*E14*E15/1000*3.14159265369</f>
        <v>11.529910883016701</v>
      </c>
      <c r="F16" s="65">
        <f t="shared" ref="F16" si="2">F8*0.3+F11*F12/1000*3.14159265359+F13*0.61+2*F14*F15/1000*3.14159265369</f>
        <v>12.475486074911601</v>
      </c>
      <c r="G16" s="65">
        <f t="shared" ref="G16" si="3">G8*0.3+G11*G12/1000*3.14159265359+G13*0.61+2*G14*G15/1000*3.14159265369</f>
        <v>13.4210612668065</v>
      </c>
      <c r="H16" s="65">
        <f t="shared" ref="H16" si="4">H8*0.3+H11*H12/1000*3.14159265359+H13*0.61+2*H14*H15/1000*3.14159265369</f>
        <v>18.390972451212498</v>
      </c>
      <c r="I16" s="65">
        <f t="shared" ref="I16" si="5">I8*0.3+I11*I12/1000*3.14159265359+I13*0.61+2*I14*I15/1000*3.14159265369</f>
        <v>20.282122835002298</v>
      </c>
      <c r="J16" s="65">
        <f t="shared" ref="J16" si="6">J8*0.3+J11*J12/1000*3.14159265359+J13*0.61+2*J14*J15/1000*3.14159265369</f>
        <v>23.304246574134499</v>
      </c>
      <c r="K16" s="65">
        <f t="shared" ref="K16" si="7">K8*0.3+K11*K12/1000*3.14159265359+K13*0.61+2*K14*K15/1000*3.14159265369</f>
        <v>27.881458676743748</v>
      </c>
      <c r="L16" s="65">
        <f t="shared" ref="L16" si="8">L8*0.3+L11*L12/1000*3.14159265359+L13*0.61+2*L14*L15/1000*3.14159265369</f>
        <v>33.737210595742752</v>
      </c>
      <c r="M16" s="65">
        <f t="shared" ref="M16" si="9">M8*0.3+M11*M12/1000*3.14159265359+M13*0.61+2*M14*M15/1000*3.14159265369</f>
        <v>39.59296251474175</v>
      </c>
      <c r="N16" s="65">
        <f t="shared" ref="N16" si="10">N8*0.3+N11*N12/1000*3.14159265359+N13*0.61+2*N14*N15/1000*3.14159265369</f>
        <v>48.20119222981775</v>
      </c>
      <c r="O16" s="65">
        <f t="shared" ref="O16" si="11">O8*0.3+O11*O12/1000*3.14159265359+O13*0.61+2*O14*O15/1000*3.14159265369</f>
        <v>60.484377537047749</v>
      </c>
    </row>
    <row r="17" spans="1:15" ht="15" customHeight="1" x14ac:dyDescent="0.25">
      <c r="A17" s="66" t="s">
        <v>51</v>
      </c>
      <c r="B17" s="67" t="s">
        <v>117</v>
      </c>
      <c r="C17" s="145">
        <f>C16*21</f>
        <v>585.51063221161871</v>
      </c>
      <c r="D17" s="143">
        <f>D16*21</f>
        <v>222.27104951355781</v>
      </c>
      <c r="E17" s="143">
        <f>E16*21</f>
        <v>242.12812854335073</v>
      </c>
      <c r="F17" s="143">
        <f t="shared" ref="F17:O17" si="12">F16*21</f>
        <v>261.98520757314361</v>
      </c>
      <c r="G17" s="143">
        <f t="shared" si="12"/>
        <v>281.8422866029365</v>
      </c>
      <c r="H17" s="143">
        <f t="shared" si="12"/>
        <v>386.21042147546245</v>
      </c>
      <c r="I17" s="143">
        <f t="shared" si="12"/>
        <v>425.92457953504822</v>
      </c>
      <c r="J17" s="143">
        <f t="shared" si="12"/>
        <v>489.38917805682451</v>
      </c>
      <c r="K17" s="143">
        <f t="shared" si="12"/>
        <v>585.51063221161871</v>
      </c>
      <c r="L17" s="143">
        <f t="shared" si="12"/>
        <v>708.48142251059778</v>
      </c>
      <c r="M17" s="143">
        <f t="shared" si="12"/>
        <v>831.45221280957674</v>
      </c>
      <c r="N17" s="143">
        <f t="shared" si="12"/>
        <v>1012.2250368261728</v>
      </c>
      <c r="O17" s="143">
        <f t="shared" si="12"/>
        <v>1270.1719282780027</v>
      </c>
    </row>
    <row r="18" spans="1:15" ht="15" customHeight="1" x14ac:dyDescent="0.25">
      <c r="A18" s="66" t="s">
        <v>119</v>
      </c>
      <c r="B18" s="67" t="s">
        <v>117</v>
      </c>
      <c r="C18" s="145">
        <f>C17-120</f>
        <v>465.51063221161871</v>
      </c>
      <c r="D18" s="143">
        <f>D17-120</f>
        <v>102.27104951355781</v>
      </c>
      <c r="E18" s="143">
        <f>E17-120</f>
        <v>122.12812854335073</v>
      </c>
      <c r="F18" s="143">
        <f t="shared" ref="F18:O18" si="13">F17-120</f>
        <v>141.98520757314361</v>
      </c>
      <c r="G18" s="143">
        <f t="shared" si="13"/>
        <v>161.8422866029365</v>
      </c>
      <c r="H18" s="143">
        <f t="shared" si="13"/>
        <v>266.21042147546245</v>
      </c>
      <c r="I18" s="143">
        <f t="shared" si="13"/>
        <v>305.92457953504822</v>
      </c>
      <c r="J18" s="143">
        <f t="shared" si="13"/>
        <v>369.38917805682451</v>
      </c>
      <c r="K18" s="143">
        <f t="shared" si="13"/>
        <v>465.51063221161871</v>
      </c>
      <c r="L18" s="143">
        <f t="shared" si="13"/>
        <v>588.48142251059778</v>
      </c>
      <c r="M18" s="143">
        <f t="shared" si="13"/>
        <v>711.45221280957674</v>
      </c>
      <c r="N18" s="143">
        <f t="shared" si="13"/>
        <v>892.22503682617275</v>
      </c>
      <c r="O18" s="143">
        <f t="shared" si="13"/>
        <v>1150.1719282780027</v>
      </c>
    </row>
    <row r="19" spans="1:15" ht="15" customHeight="1" x14ac:dyDescent="0.25">
      <c r="A19" s="66" t="s">
        <v>118</v>
      </c>
      <c r="B19" s="67" t="s">
        <v>95</v>
      </c>
      <c r="C19" s="145">
        <f>C17*'Melkstand und Herde'!C12</f>
        <v>1171.0212644232374</v>
      </c>
      <c r="D19" s="143">
        <f>D17*'Melkstand und Herde'!D12</f>
        <v>444.54209902711563</v>
      </c>
      <c r="E19" s="143">
        <f>E17*'Melkstand und Herde'!E12</f>
        <v>484.25625708670145</v>
      </c>
      <c r="F19" s="143">
        <f>F17*'Melkstand und Herde'!F12</f>
        <v>523.97041514628722</v>
      </c>
      <c r="G19" s="143">
        <f>G17*'Melkstand und Herde'!G12</f>
        <v>563.68457320587299</v>
      </c>
      <c r="H19" s="143">
        <f>H17*'Melkstand und Herde'!H12</f>
        <v>772.42084295092491</v>
      </c>
      <c r="I19" s="143">
        <f>I17*'Melkstand und Herde'!I12</f>
        <v>851.84915907009645</v>
      </c>
      <c r="J19" s="143">
        <f>J17*'Melkstand und Herde'!J12</f>
        <v>978.77835611364901</v>
      </c>
      <c r="K19" s="143">
        <f>K17*'Melkstand und Herde'!K12</f>
        <v>1171.0212644232374</v>
      </c>
      <c r="L19" s="143">
        <f>L17*'Melkstand und Herde'!L12</f>
        <v>1416.9628450211956</v>
      </c>
      <c r="M19" s="143">
        <f>M17*'Melkstand und Herde'!M12</f>
        <v>1662.9044256191535</v>
      </c>
      <c r="N19" s="143">
        <f>N17*'Melkstand und Herde'!N12</f>
        <v>2024.4500736523455</v>
      </c>
      <c r="O19" s="143">
        <f>O17*'Melkstand und Herde'!O12</f>
        <v>2540.3438565560054</v>
      </c>
    </row>
    <row r="20" spans="1:15" ht="15" customHeight="1" x14ac:dyDescent="0.25">
      <c r="A20" s="34" t="s">
        <v>119</v>
      </c>
      <c r="B20" s="86" t="s">
        <v>95</v>
      </c>
      <c r="C20" s="180">
        <f>C18*'Melkstand und Herde'!C12</f>
        <v>931.02126442323743</v>
      </c>
      <c r="D20" s="181">
        <f>D18*'Melkstand und Herde'!D12</f>
        <v>204.54209902711563</v>
      </c>
      <c r="E20" s="181">
        <f>E18*'Melkstand und Herde'!E12</f>
        <v>244.25625708670145</v>
      </c>
      <c r="F20" s="181">
        <f>F18*'Melkstand und Herde'!F12</f>
        <v>283.97041514628722</v>
      </c>
      <c r="G20" s="181">
        <f>G18*'Melkstand und Herde'!G12</f>
        <v>323.68457320587299</v>
      </c>
      <c r="H20" s="181">
        <f>H18*'Melkstand und Herde'!H12</f>
        <v>532.42084295092491</v>
      </c>
      <c r="I20" s="181">
        <f>I18*'Melkstand und Herde'!I12</f>
        <v>611.84915907009645</v>
      </c>
      <c r="J20" s="181">
        <f>J18*'Melkstand und Herde'!J12</f>
        <v>738.77835611364901</v>
      </c>
      <c r="K20" s="181">
        <f>K18*'Melkstand und Herde'!K12</f>
        <v>931.02126442323743</v>
      </c>
      <c r="L20" s="181">
        <f>L18*'Melkstand und Herde'!L12</f>
        <v>1176.9628450211956</v>
      </c>
      <c r="M20" s="181">
        <f>M18*'Melkstand und Herde'!M12</f>
        <v>1422.9044256191535</v>
      </c>
      <c r="N20" s="181">
        <f>N18*'Melkstand und Herde'!N12</f>
        <v>1784.4500736523455</v>
      </c>
      <c r="O20" s="181">
        <f>O18*'Melkstand und Herde'!O12</f>
        <v>2300.3438565560054</v>
      </c>
    </row>
    <row r="21" spans="1:15" ht="6.95" customHeight="1" x14ac:dyDescent="0.25">
      <c r="A21" s="45"/>
      <c r="B21" s="312"/>
      <c r="C21" s="182"/>
      <c r="D21" s="182"/>
      <c r="E21" s="182"/>
      <c r="F21" s="182"/>
      <c r="G21" s="182"/>
      <c r="H21" s="182"/>
      <c r="I21" s="182"/>
      <c r="J21" s="182"/>
      <c r="K21" s="182"/>
      <c r="L21" s="182"/>
      <c r="M21" s="182"/>
      <c r="N21" s="182"/>
      <c r="O21" s="182"/>
    </row>
    <row r="22" spans="1:15" ht="18" customHeight="1" x14ac:dyDescent="0.25">
      <c r="A22" s="183" t="s">
        <v>143</v>
      </c>
      <c r="B22" s="313"/>
      <c r="C22" s="184"/>
      <c r="D22" s="184"/>
      <c r="E22" s="184"/>
      <c r="F22" s="184"/>
      <c r="G22" s="184"/>
      <c r="H22" s="184"/>
      <c r="I22" s="184"/>
      <c r="J22" s="184"/>
      <c r="K22" s="184"/>
      <c r="L22" s="184"/>
      <c r="M22" s="184"/>
      <c r="N22" s="184"/>
      <c r="O22" s="185"/>
    </row>
    <row r="23" spans="1:15" ht="15" customHeight="1" x14ac:dyDescent="0.25">
      <c r="A23" s="62" t="s">
        <v>113</v>
      </c>
      <c r="B23" s="63" t="s">
        <v>194</v>
      </c>
      <c r="C23" s="186">
        <f>'Melkstand und Herde'!C16</f>
        <v>828.8780487804878</v>
      </c>
      <c r="D23" s="141">
        <f>'Melkstand und Herde'!D16</f>
        <v>103.60975609756098</v>
      </c>
      <c r="E23" s="141">
        <f>'Melkstand und Herde'!E16</f>
        <v>120.8780487804878</v>
      </c>
      <c r="F23" s="141">
        <f>'Melkstand und Herde'!F16</f>
        <v>138.14634146341464</v>
      </c>
      <c r="G23" s="141">
        <f>'Melkstand und Herde'!G16</f>
        <v>207.21951219512195</v>
      </c>
      <c r="H23" s="141">
        <f>'Melkstand und Herde'!H16</f>
        <v>310.82926829268291</v>
      </c>
      <c r="I23" s="141">
        <f>'Melkstand und Herde'!I16</f>
        <v>414.4390243902439</v>
      </c>
      <c r="J23" s="141">
        <f>'Melkstand und Herde'!J16</f>
        <v>828.8780487804878</v>
      </c>
      <c r="K23" s="141">
        <f>'Melkstand und Herde'!K16</f>
        <v>828.8780487804878</v>
      </c>
      <c r="L23" s="141">
        <f>'Melkstand und Herde'!L16</f>
        <v>1243.3170731707316</v>
      </c>
      <c r="M23" s="141">
        <f>'Melkstand und Herde'!M16</f>
        <v>1243.3170731707316</v>
      </c>
      <c r="N23" s="141">
        <f>'Melkstand und Herde'!N16</f>
        <v>2072.1951219512193</v>
      </c>
      <c r="O23" s="141">
        <f>'Melkstand und Herde'!O16</f>
        <v>2072.1951219512193</v>
      </c>
    </row>
    <row r="24" spans="1:15" ht="15" customHeight="1" x14ac:dyDescent="0.25">
      <c r="A24" s="66" t="s">
        <v>195</v>
      </c>
      <c r="B24" s="67" t="s">
        <v>112</v>
      </c>
      <c r="C24" s="187">
        <v>0.5</v>
      </c>
      <c r="D24" s="33">
        <v>0.5</v>
      </c>
      <c r="E24" s="33">
        <v>0.5</v>
      </c>
      <c r="F24" s="33">
        <v>0.5</v>
      </c>
      <c r="G24" s="33">
        <v>0.5</v>
      </c>
      <c r="H24" s="33">
        <v>0.5</v>
      </c>
      <c r="I24" s="33">
        <v>0.5</v>
      </c>
      <c r="J24" s="33">
        <v>0.5</v>
      </c>
      <c r="K24" s="33">
        <v>0.5</v>
      </c>
      <c r="L24" s="33">
        <v>0.5</v>
      </c>
      <c r="M24" s="33">
        <v>0.5</v>
      </c>
      <c r="N24" s="33">
        <v>0.5</v>
      </c>
      <c r="O24" s="33">
        <v>0.5</v>
      </c>
    </row>
    <row r="25" spans="1:15" ht="15" customHeight="1" x14ac:dyDescent="0.25">
      <c r="A25" s="34" t="s">
        <v>196</v>
      </c>
      <c r="B25" s="86" t="s">
        <v>95</v>
      </c>
      <c r="C25" s="180">
        <f t="shared" ref="C25:D25" si="14">C24*C23</f>
        <v>414.4390243902439</v>
      </c>
      <c r="D25" s="181">
        <f t="shared" si="14"/>
        <v>51.804878048780488</v>
      </c>
      <c r="E25" s="181">
        <f t="shared" ref="E25:O25" si="15">E24*E23</f>
        <v>60.439024390243901</v>
      </c>
      <c r="F25" s="181">
        <f t="shared" si="15"/>
        <v>69.073170731707322</v>
      </c>
      <c r="G25" s="181">
        <f t="shared" si="15"/>
        <v>103.60975609756098</v>
      </c>
      <c r="H25" s="181">
        <f t="shared" si="15"/>
        <v>155.41463414634146</v>
      </c>
      <c r="I25" s="181">
        <f t="shared" si="15"/>
        <v>207.21951219512195</v>
      </c>
      <c r="J25" s="181">
        <f t="shared" si="15"/>
        <v>414.4390243902439</v>
      </c>
      <c r="K25" s="181">
        <f t="shared" si="15"/>
        <v>414.4390243902439</v>
      </c>
      <c r="L25" s="181">
        <f t="shared" si="15"/>
        <v>621.65853658536582</v>
      </c>
      <c r="M25" s="181">
        <f t="shared" si="15"/>
        <v>621.65853658536582</v>
      </c>
      <c r="N25" s="181">
        <f t="shared" si="15"/>
        <v>1036.0975609756097</v>
      </c>
      <c r="O25" s="181">
        <f t="shared" si="15"/>
        <v>1036.0975609756097</v>
      </c>
    </row>
  </sheetData>
  <sheetProtection password="CDE3" sheet="1" objects="1" scenarios="1"/>
  <phoneticPr fontId="8" type="noConversion"/>
  <printOptions horizontalCentered="1"/>
  <pageMargins left="0.78740157480314965" right="0.78740157480314965" top="0.98425196850393704" bottom="0.98425196850393704" header="0.51181102362204722" footer="0.51181102362204722"/>
  <pageSetup paperSize="9" scale="61" orientation="landscape" r:id="rId1"/>
  <headerFooter alignWithMargins="0">
    <oddHeader>&amp;C&amp;F
&amp;A</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X219"/>
  <sheetViews>
    <sheetView zoomScaleNormal="100" zoomScaleSheetLayoutView="90" workbookViewId="0">
      <pane xSplit="1" ySplit="4" topLeftCell="B62" activePane="bottomRight" state="frozen"/>
      <selection activeCell="C5" sqref="C5"/>
      <selection pane="topRight" activeCell="C5" sqref="C5"/>
      <selection pane="bottomLeft" activeCell="C5" sqref="C5"/>
      <selection pane="bottomRight" activeCell="C87" sqref="C87"/>
    </sheetView>
  </sheetViews>
  <sheetFormatPr baseColWidth="10" defaultColWidth="11.42578125" defaultRowHeight="15" customHeight="1" x14ac:dyDescent="0.25"/>
  <cols>
    <col min="1" max="1" width="47.42578125" style="194" customWidth="1"/>
    <col min="2" max="2" width="13.42578125" style="189" customWidth="1"/>
    <col min="3" max="15" width="13" style="194" customWidth="1"/>
    <col min="16" max="16" width="16" style="194" customWidth="1"/>
    <col min="17" max="17" width="12" style="194" customWidth="1"/>
    <col min="18" max="18" width="13.140625" style="194" customWidth="1"/>
    <col min="19" max="19" width="16.7109375" style="194" customWidth="1"/>
    <col min="20" max="21" width="16" style="194" customWidth="1"/>
    <col min="22" max="22" width="11.42578125" style="194"/>
    <col min="23" max="23" width="11.7109375" style="194" customWidth="1"/>
    <col min="24" max="24" width="12" style="194" customWidth="1"/>
    <col min="25" max="16384" width="11.42578125" style="194"/>
  </cols>
  <sheetData>
    <row r="1" spans="1:15" s="190" customFormat="1" ht="33" customHeight="1" x14ac:dyDescent="0.25">
      <c r="A1" s="188" t="s">
        <v>225</v>
      </c>
      <c r="B1" s="189"/>
    </row>
    <row r="2" spans="1:15" ht="15" customHeight="1" x14ac:dyDescent="0.25">
      <c r="A2" s="191" t="s">
        <v>175</v>
      </c>
      <c r="B2" s="192"/>
      <c r="C2" s="193" t="str">
        <f>'Melkstand und Herde'!C2</f>
        <v>offen</v>
      </c>
      <c r="D2" s="193">
        <f>'Melkstand und Herde'!D2</f>
        <v>1</v>
      </c>
      <c r="E2" s="193">
        <f>'Melkstand und Herde'!E2</f>
        <v>2</v>
      </c>
      <c r="F2" s="193">
        <f>'Melkstand und Herde'!F2</f>
        <v>3</v>
      </c>
      <c r="G2" s="193">
        <f>'Melkstand und Herde'!G2</f>
        <v>4</v>
      </c>
      <c r="H2" s="193">
        <f>'Melkstand und Herde'!H2</f>
        <v>5</v>
      </c>
      <c r="I2" s="193">
        <f>'Melkstand und Herde'!I2</f>
        <v>6</v>
      </c>
      <c r="J2" s="193">
        <f>'Melkstand und Herde'!J2</f>
        <v>7</v>
      </c>
      <c r="K2" s="193">
        <f>'Melkstand und Herde'!K2</f>
        <v>8</v>
      </c>
      <c r="L2" s="193">
        <f>'Melkstand und Herde'!L2</f>
        <v>9</v>
      </c>
      <c r="M2" s="193">
        <f>'Melkstand und Herde'!M2</f>
        <v>10</v>
      </c>
      <c r="N2" s="193">
        <f>'Melkstand und Herde'!N2</f>
        <v>11</v>
      </c>
      <c r="O2" s="193">
        <f>'Melkstand und Herde'!O2</f>
        <v>12</v>
      </c>
    </row>
    <row r="3" spans="1:15" s="197" customFormat="1" ht="18" customHeight="1" x14ac:dyDescent="0.25">
      <c r="A3" s="195" t="s">
        <v>56</v>
      </c>
      <c r="B3" s="160"/>
      <c r="C3" s="196" t="str">
        <f>'Melkstand und Herde'!C3</f>
        <v>SbS 2X16</v>
      </c>
      <c r="D3" s="196" t="str">
        <f>'Melkstand und Herde'!D3</f>
        <v>FGM 2 x 5</v>
      </c>
      <c r="E3" s="196" t="str">
        <f>'Melkstand und Herde'!E3</f>
        <v>FGM 2 x 6</v>
      </c>
      <c r="F3" s="196" t="str">
        <f>'Melkstand und Herde'!F3</f>
        <v>FGM 2 x 7</v>
      </c>
      <c r="G3" s="196" t="str">
        <f>'Melkstand und Herde'!G3</f>
        <v xml:space="preserve">FGM 2 x 8 </v>
      </c>
      <c r="H3" s="196" t="str">
        <f>'Melkstand und Herde'!H3</f>
        <v>FGM 2 x 10</v>
      </c>
      <c r="I3" s="196" t="str">
        <f>'Melkstand und Herde'!I3</f>
        <v>FGM 2 x 12</v>
      </c>
      <c r="J3" s="196" t="str">
        <f>'Melkstand und Herde'!J3</f>
        <v>SbS 2 x 14</v>
      </c>
      <c r="K3" s="196" t="str">
        <f>'Melkstand und Herde'!K3</f>
        <v>SbS 2 x 16</v>
      </c>
      <c r="L3" s="196" t="str">
        <f>'Melkstand und Herde'!L3</f>
        <v>SbS 2 x 20</v>
      </c>
      <c r="M3" s="196" t="str">
        <f>'Melkstand und Herde'!M3</f>
        <v>SbS 2 x 24</v>
      </c>
      <c r="N3" s="196" t="str">
        <f>'Melkstand und Herde'!N3</f>
        <v>Sbs 2 x 30</v>
      </c>
      <c r="O3" s="196" t="str">
        <f>'Melkstand und Herde'!O3</f>
        <v>SbS 2 x 40</v>
      </c>
    </row>
    <row r="4" spans="1:15" ht="15" customHeight="1" x14ac:dyDescent="0.25">
      <c r="A4" s="198" t="s">
        <v>41</v>
      </c>
      <c r="B4" s="314" t="s">
        <v>156</v>
      </c>
      <c r="C4" s="199">
        <f>'Melkstand und Herde'!C4</f>
        <v>480</v>
      </c>
      <c r="D4" s="199">
        <f>'Melkstand und Herde'!D4</f>
        <v>60</v>
      </c>
      <c r="E4" s="199">
        <f>'Melkstand und Herde'!E4</f>
        <v>70</v>
      </c>
      <c r="F4" s="199">
        <f>'Melkstand und Herde'!F4</f>
        <v>80</v>
      </c>
      <c r="G4" s="199">
        <f>'Melkstand und Herde'!G4</f>
        <v>120</v>
      </c>
      <c r="H4" s="199">
        <f>'Melkstand und Herde'!H4</f>
        <v>180</v>
      </c>
      <c r="I4" s="199">
        <f>'Melkstand und Herde'!I4</f>
        <v>240</v>
      </c>
      <c r="J4" s="199">
        <f>'Melkstand und Herde'!J4</f>
        <v>480</v>
      </c>
      <c r="K4" s="199">
        <f>'Melkstand und Herde'!K4</f>
        <v>480</v>
      </c>
      <c r="L4" s="199">
        <f>'Melkstand und Herde'!L4</f>
        <v>720</v>
      </c>
      <c r="M4" s="199">
        <f>'Melkstand und Herde'!M4</f>
        <v>720</v>
      </c>
      <c r="N4" s="199">
        <f>'Melkstand und Herde'!N4</f>
        <v>1200</v>
      </c>
      <c r="O4" s="199">
        <f>'Melkstand und Herde'!O4</f>
        <v>1200</v>
      </c>
    </row>
    <row r="5" spans="1:15" ht="15" customHeight="1" x14ac:dyDescent="0.25">
      <c r="A5" s="198" t="s">
        <v>12</v>
      </c>
      <c r="B5" s="314" t="s">
        <v>156</v>
      </c>
      <c r="C5" s="199">
        <f>'Melkstand und Herde'!C7</f>
        <v>414.4390243902439</v>
      </c>
      <c r="D5" s="199">
        <f>'Melkstand und Herde'!D7</f>
        <v>51.804878048780488</v>
      </c>
      <c r="E5" s="199">
        <f>'Melkstand und Herde'!E7</f>
        <v>60.439024390243901</v>
      </c>
      <c r="F5" s="199">
        <f>'Melkstand und Herde'!F7</f>
        <v>69.073170731707322</v>
      </c>
      <c r="G5" s="199">
        <f>'Melkstand und Herde'!G7</f>
        <v>103.60975609756098</v>
      </c>
      <c r="H5" s="199">
        <f>'Melkstand und Herde'!H7</f>
        <v>155.41463414634146</v>
      </c>
      <c r="I5" s="199">
        <f>'Melkstand und Herde'!I7</f>
        <v>207.21951219512195</v>
      </c>
      <c r="J5" s="199">
        <f>'Melkstand und Herde'!J7</f>
        <v>414.4390243902439</v>
      </c>
      <c r="K5" s="199">
        <f>'Melkstand und Herde'!K7</f>
        <v>414.4390243902439</v>
      </c>
      <c r="L5" s="199">
        <f>'Melkstand und Herde'!L7</f>
        <v>621.65853658536582</v>
      </c>
      <c r="M5" s="199">
        <f>'Melkstand und Herde'!M7</f>
        <v>621.65853658536582</v>
      </c>
      <c r="N5" s="199">
        <f>'Melkstand und Herde'!N7</f>
        <v>1036.0975609756097</v>
      </c>
      <c r="O5" s="199">
        <f>'Melkstand und Herde'!O7</f>
        <v>1036.0975609756097</v>
      </c>
    </row>
    <row r="6" spans="1:15" ht="15" customHeight="1" x14ac:dyDescent="0.25">
      <c r="A6" s="198" t="s">
        <v>13</v>
      </c>
      <c r="B6" s="314" t="s">
        <v>219</v>
      </c>
      <c r="C6" s="199">
        <f>'Melkstand und Herde'!C8</f>
        <v>10000</v>
      </c>
      <c r="D6" s="199">
        <f>'Melkstand und Herde'!D8</f>
        <v>10000</v>
      </c>
      <c r="E6" s="199">
        <f>'Melkstand und Herde'!E8</f>
        <v>10000</v>
      </c>
      <c r="F6" s="199">
        <f>'Melkstand und Herde'!F8</f>
        <v>10000</v>
      </c>
      <c r="G6" s="199">
        <f>'Melkstand und Herde'!G8</f>
        <v>10000</v>
      </c>
      <c r="H6" s="199">
        <f>'Melkstand und Herde'!H8</f>
        <v>10000</v>
      </c>
      <c r="I6" s="199">
        <f>'Melkstand und Herde'!I8</f>
        <v>10000</v>
      </c>
      <c r="J6" s="199">
        <f>'Melkstand und Herde'!J8</f>
        <v>10000</v>
      </c>
      <c r="K6" s="199">
        <f>'Melkstand und Herde'!K8</f>
        <v>10000</v>
      </c>
      <c r="L6" s="199">
        <f>'Melkstand und Herde'!L8</f>
        <v>10000</v>
      </c>
      <c r="M6" s="199">
        <f>'Melkstand und Herde'!M8</f>
        <v>10000</v>
      </c>
      <c r="N6" s="199">
        <f>'Melkstand und Herde'!N8</f>
        <v>10000</v>
      </c>
      <c r="O6" s="199">
        <f>'Melkstand und Herde'!O8</f>
        <v>10000</v>
      </c>
    </row>
    <row r="7" spans="1:15" ht="15" customHeight="1" x14ac:dyDescent="0.25">
      <c r="A7" s="200" t="s">
        <v>14</v>
      </c>
      <c r="B7" s="315" t="s">
        <v>220</v>
      </c>
      <c r="C7" s="201">
        <f>'Melkstand und Herde'!C9</f>
        <v>13150.684931506848</v>
      </c>
      <c r="D7" s="201">
        <f>'Melkstand und Herde'!D9</f>
        <v>1643.8356164383561</v>
      </c>
      <c r="E7" s="201">
        <f>'Melkstand und Herde'!E9</f>
        <v>1917.8082191780823</v>
      </c>
      <c r="F7" s="201">
        <f>'Melkstand und Herde'!F9</f>
        <v>2191.7808219178082</v>
      </c>
      <c r="G7" s="201">
        <f>'Melkstand und Herde'!G9</f>
        <v>3287.6712328767121</v>
      </c>
      <c r="H7" s="201">
        <f>'Melkstand und Herde'!H9</f>
        <v>4931.5068493150684</v>
      </c>
      <c r="I7" s="201">
        <f>'Melkstand und Herde'!I9</f>
        <v>6575.3424657534242</v>
      </c>
      <c r="J7" s="201">
        <f>'Melkstand und Herde'!J9</f>
        <v>13150.684931506848</v>
      </c>
      <c r="K7" s="201">
        <f>'Melkstand und Herde'!K9</f>
        <v>13150.684931506848</v>
      </c>
      <c r="L7" s="201">
        <f>'Melkstand und Herde'!L9</f>
        <v>19726.027397260274</v>
      </c>
      <c r="M7" s="201">
        <f>'Melkstand und Herde'!M9</f>
        <v>19726.027397260274</v>
      </c>
      <c r="N7" s="201">
        <f>'Melkstand und Herde'!N9</f>
        <v>32876.71232876712</v>
      </c>
      <c r="O7" s="201">
        <f>'Melkstand und Herde'!O9</f>
        <v>32876.71232876712</v>
      </c>
    </row>
    <row r="8" spans="1:15" ht="6.95" customHeight="1" x14ac:dyDescent="0.25">
      <c r="B8" s="316"/>
    </row>
    <row r="9" spans="1:15" s="197" customFormat="1" ht="18" customHeight="1" x14ac:dyDescent="0.25">
      <c r="A9" s="202" t="s">
        <v>144</v>
      </c>
      <c r="B9" s="317"/>
      <c r="C9" s="203"/>
      <c r="D9" s="203"/>
      <c r="E9" s="203"/>
      <c r="F9" s="203"/>
      <c r="G9" s="203"/>
      <c r="H9" s="203"/>
      <c r="I9" s="203"/>
      <c r="J9" s="203"/>
      <c r="K9" s="203"/>
      <c r="L9" s="203"/>
      <c r="M9" s="203"/>
      <c r="N9" s="203"/>
      <c r="O9" s="204"/>
    </row>
    <row r="10" spans="1:15" ht="15" customHeight="1" x14ac:dyDescent="0.25">
      <c r="A10" s="205" t="s">
        <v>1</v>
      </c>
      <c r="B10" s="318"/>
      <c r="C10" s="206">
        <f>Arbeitszeit!C14*Arbeitszeit!C16</f>
        <v>32</v>
      </c>
      <c r="D10" s="207">
        <f>Arbeitszeit!D14*Arbeitszeit!D16</f>
        <v>10</v>
      </c>
      <c r="E10" s="207">
        <f>Arbeitszeit!E14*Arbeitszeit!E16</f>
        <v>12</v>
      </c>
      <c r="F10" s="207">
        <f>Arbeitszeit!F14*Arbeitszeit!F16</f>
        <v>14</v>
      </c>
      <c r="G10" s="207">
        <f>Arbeitszeit!G14*Arbeitszeit!G16</f>
        <v>16</v>
      </c>
      <c r="H10" s="207">
        <f>Arbeitszeit!H14*Arbeitszeit!H16</f>
        <v>20</v>
      </c>
      <c r="I10" s="207">
        <f>Arbeitszeit!I14*Arbeitszeit!I16</f>
        <v>24</v>
      </c>
      <c r="J10" s="207">
        <f>Arbeitszeit!J14*Arbeitszeit!J16</f>
        <v>28</v>
      </c>
      <c r="K10" s="207">
        <f>Arbeitszeit!K14*Arbeitszeit!K16</f>
        <v>32</v>
      </c>
      <c r="L10" s="207">
        <f>Arbeitszeit!L14*Arbeitszeit!L16</f>
        <v>40</v>
      </c>
      <c r="M10" s="207">
        <f>Arbeitszeit!M14*Arbeitszeit!M16</f>
        <v>48</v>
      </c>
      <c r="N10" s="207">
        <f>Arbeitszeit!N14*Arbeitszeit!N16</f>
        <v>60</v>
      </c>
      <c r="O10" s="207">
        <f>Arbeitszeit!O14*Arbeitszeit!O16</f>
        <v>80</v>
      </c>
    </row>
    <row r="11" spans="1:15" ht="15" customHeight="1" x14ac:dyDescent="0.25">
      <c r="A11" s="208" t="s">
        <v>17</v>
      </c>
      <c r="B11" s="319" t="s">
        <v>2</v>
      </c>
      <c r="C11" s="209">
        <f>IF(C10&lt;=10,250+C10*80,250+(80*10)+(55*(C10-10)))*1.25</f>
        <v>2825</v>
      </c>
      <c r="D11" s="210">
        <f>IF(D10&lt;=10,250+D10*80,250+(80*10)+(55*(D10-10)))*1.25</f>
        <v>1312.5</v>
      </c>
      <c r="E11" s="210">
        <f t="shared" ref="E11:O11" si="0">IF(E10&lt;=10,250+E10*80,250+(80*10)+(55*(E10-10)))*1.25</f>
        <v>1450</v>
      </c>
      <c r="F11" s="210">
        <f t="shared" si="0"/>
        <v>1587.5</v>
      </c>
      <c r="G11" s="210">
        <f t="shared" si="0"/>
        <v>1725</v>
      </c>
      <c r="H11" s="210">
        <f t="shared" si="0"/>
        <v>2000</v>
      </c>
      <c r="I11" s="210">
        <f t="shared" si="0"/>
        <v>2275</v>
      </c>
      <c r="J11" s="210">
        <f t="shared" si="0"/>
        <v>2550</v>
      </c>
      <c r="K11" s="210">
        <f t="shared" si="0"/>
        <v>2825</v>
      </c>
      <c r="L11" s="210">
        <f t="shared" si="0"/>
        <v>3375</v>
      </c>
      <c r="M11" s="210">
        <f t="shared" si="0"/>
        <v>3925</v>
      </c>
      <c r="N11" s="210">
        <f t="shared" si="0"/>
        <v>4750</v>
      </c>
      <c r="O11" s="210">
        <f t="shared" si="0"/>
        <v>6125</v>
      </c>
    </row>
    <row r="12" spans="1:15" ht="15" customHeight="1" x14ac:dyDescent="0.25">
      <c r="A12" s="208" t="s">
        <v>0</v>
      </c>
      <c r="B12" s="319" t="s">
        <v>3</v>
      </c>
      <c r="C12" s="211">
        <f t="shared" ref="C12:O12" si="1">VLOOKUP(C11,$A$161:$D$174,3)</f>
        <v>8</v>
      </c>
      <c r="D12" s="212">
        <f t="shared" si="1"/>
        <v>4</v>
      </c>
      <c r="E12" s="212">
        <f t="shared" si="1"/>
        <v>4</v>
      </c>
      <c r="F12" s="212">
        <f t="shared" si="1"/>
        <v>5.5</v>
      </c>
      <c r="G12" s="212">
        <f t="shared" si="1"/>
        <v>5.5</v>
      </c>
      <c r="H12" s="212">
        <f t="shared" si="1"/>
        <v>5.5</v>
      </c>
      <c r="I12" s="212">
        <f t="shared" si="1"/>
        <v>7.5</v>
      </c>
      <c r="J12" s="212">
        <f t="shared" si="1"/>
        <v>7.5</v>
      </c>
      <c r="K12" s="212">
        <f t="shared" si="1"/>
        <v>8</v>
      </c>
      <c r="L12" s="212">
        <f t="shared" si="1"/>
        <v>9.5</v>
      </c>
      <c r="M12" s="212">
        <f t="shared" si="1"/>
        <v>10.5</v>
      </c>
      <c r="N12" s="212">
        <f t="shared" si="1"/>
        <v>13</v>
      </c>
      <c r="O12" s="212">
        <f t="shared" si="1"/>
        <v>18</v>
      </c>
    </row>
    <row r="13" spans="1:15" ht="15" customHeight="1" x14ac:dyDescent="0.25">
      <c r="A13" s="208" t="s">
        <v>44</v>
      </c>
      <c r="B13" s="319" t="s">
        <v>10</v>
      </c>
      <c r="C13" s="213">
        <v>50</v>
      </c>
      <c r="D13" s="214">
        <v>50</v>
      </c>
      <c r="E13" s="214">
        <v>50</v>
      </c>
      <c r="F13" s="214">
        <v>50</v>
      </c>
      <c r="G13" s="214">
        <v>50</v>
      </c>
      <c r="H13" s="214">
        <v>50</v>
      </c>
      <c r="I13" s="214">
        <v>50</v>
      </c>
      <c r="J13" s="214">
        <v>50</v>
      </c>
      <c r="K13" s="214">
        <v>50</v>
      </c>
      <c r="L13" s="214">
        <v>50</v>
      </c>
      <c r="M13" s="214">
        <v>50</v>
      </c>
      <c r="N13" s="214">
        <v>50</v>
      </c>
      <c r="O13" s="214">
        <v>50</v>
      </c>
    </row>
    <row r="14" spans="1:15" ht="15" customHeight="1" x14ac:dyDescent="0.25">
      <c r="A14" s="215" t="s">
        <v>111</v>
      </c>
      <c r="B14" s="320" t="s">
        <v>6</v>
      </c>
      <c r="C14" s="216">
        <f>'Melkstand und Herde'!C12*(Arbeitszeit!C50+Arbeitszeit!C57/60)</f>
        <v>7.6075555555555558</v>
      </c>
      <c r="D14" s="217">
        <f>'Melkstand und Herde'!D12*(Arbeitszeit!D50+Arbeitszeit!D57/60)</f>
        <v>2.1827015968836259</v>
      </c>
      <c r="E14" s="217">
        <f>'Melkstand und Herde'!E12*(Arbeitszeit!E50+Arbeitszeit!E57/60)</f>
        <v>2.428666666666667</v>
      </c>
      <c r="F14" s="217">
        <f>'Melkstand und Herde'!F12*(Arbeitszeit!F50+Arbeitszeit!F57/60)</f>
        <v>2.5633333333333339</v>
      </c>
      <c r="G14" s="217">
        <f>'Melkstand und Herde'!G12*(Arbeitszeit!G50+Arbeitszeit!G57/60)</f>
        <v>3.6853333333333333</v>
      </c>
      <c r="H14" s="217">
        <f>'Melkstand und Herde'!H12*(Arbeitszeit!H50+Arbeitszeit!H57/60)</f>
        <v>4.9399999999999995</v>
      </c>
      <c r="I14" s="217">
        <f>'Melkstand und Herde'!I12*(Arbeitszeit!I50+Arbeitszeit!I57/60)</f>
        <v>6.4666666666666677</v>
      </c>
      <c r="J14" s="217">
        <f>'Melkstand und Herde'!J12*(Arbeitszeit!J50+Arbeitszeit!J57/60)</f>
        <v>8.02</v>
      </c>
      <c r="K14" s="217">
        <f>'Melkstand und Herde'!K12*(Arbeitszeit!K50+Arbeitszeit!K57/60)</f>
        <v>7.6075555555555558</v>
      </c>
      <c r="L14" s="217">
        <f>'Melkstand und Herde'!L12*(Arbeitszeit!L50+Arbeitszeit!L57/60)</f>
        <v>8.3899999999999988</v>
      </c>
      <c r="M14" s="217">
        <f>'Melkstand und Herde'!M12*(Arbeitszeit!M50+Arbeitszeit!M57/60)</f>
        <v>8.0259999999999998</v>
      </c>
      <c r="N14" s="217">
        <f>'Melkstand und Herde'!N12*(Arbeitszeit!N50+Arbeitszeit!N57/60)</f>
        <v>8.6777777777777789</v>
      </c>
      <c r="O14" s="217">
        <f>'Melkstand und Herde'!O12*(Arbeitszeit!O50+Arbeitszeit!O57/60)</f>
        <v>8.4444444444444464</v>
      </c>
    </row>
    <row r="15" spans="1:15" ht="15" customHeight="1" x14ac:dyDescent="0.25">
      <c r="A15" s="208" t="s">
        <v>11</v>
      </c>
      <c r="B15" s="319" t="s">
        <v>6</v>
      </c>
      <c r="C15" s="218">
        <v>1</v>
      </c>
      <c r="D15" s="212">
        <v>1</v>
      </c>
      <c r="E15" s="212">
        <v>1</v>
      </c>
      <c r="F15" s="212">
        <v>1</v>
      </c>
      <c r="G15" s="212">
        <v>1</v>
      </c>
      <c r="H15" s="212">
        <v>1</v>
      </c>
      <c r="I15" s="212">
        <v>1</v>
      </c>
      <c r="J15" s="212">
        <v>1</v>
      </c>
      <c r="K15" s="212">
        <v>1</v>
      </c>
      <c r="L15" s="212">
        <v>1</v>
      </c>
      <c r="M15" s="212">
        <v>1</v>
      </c>
      <c r="N15" s="212">
        <v>1</v>
      </c>
      <c r="O15" s="212">
        <v>1</v>
      </c>
    </row>
    <row r="16" spans="1:15" ht="15" customHeight="1" x14ac:dyDescent="0.25">
      <c r="A16" s="219" t="s">
        <v>87</v>
      </c>
      <c r="B16" s="321" t="s">
        <v>10</v>
      </c>
      <c r="C16" s="220">
        <v>100</v>
      </c>
      <c r="D16" s="221">
        <v>100</v>
      </c>
      <c r="E16" s="221">
        <v>100</v>
      </c>
      <c r="F16" s="221">
        <v>100</v>
      </c>
      <c r="G16" s="221">
        <v>100</v>
      </c>
      <c r="H16" s="221">
        <v>100</v>
      </c>
      <c r="I16" s="221">
        <v>100</v>
      </c>
      <c r="J16" s="221">
        <v>100</v>
      </c>
      <c r="K16" s="221">
        <v>100</v>
      </c>
      <c r="L16" s="221">
        <v>100</v>
      </c>
      <c r="M16" s="221">
        <v>100</v>
      </c>
      <c r="N16" s="221">
        <v>100</v>
      </c>
      <c r="O16" s="221">
        <v>100</v>
      </c>
    </row>
    <row r="17" spans="1:24" ht="15" customHeight="1" x14ac:dyDescent="0.25">
      <c r="A17" s="205" t="s">
        <v>152</v>
      </c>
      <c r="B17" s="322" t="s">
        <v>16</v>
      </c>
      <c r="C17" s="222">
        <f t="shared" ref="C17:O17" si="2">C14*C12*C13%+C12*C15*C16%</f>
        <v>38.430222222222227</v>
      </c>
      <c r="D17" s="223">
        <f t="shared" si="2"/>
        <v>8.3654031937672517</v>
      </c>
      <c r="E17" s="223">
        <f t="shared" si="2"/>
        <v>8.8573333333333331</v>
      </c>
      <c r="F17" s="223">
        <f t="shared" si="2"/>
        <v>12.549166666666668</v>
      </c>
      <c r="G17" s="223">
        <f t="shared" si="2"/>
        <v>15.634666666666666</v>
      </c>
      <c r="H17" s="223">
        <f t="shared" si="2"/>
        <v>19.085000000000001</v>
      </c>
      <c r="I17" s="223">
        <f t="shared" si="2"/>
        <v>31.750000000000004</v>
      </c>
      <c r="J17" s="223">
        <f t="shared" si="2"/>
        <v>37.575000000000003</v>
      </c>
      <c r="K17" s="223">
        <f t="shared" si="2"/>
        <v>38.430222222222227</v>
      </c>
      <c r="L17" s="223">
        <f t="shared" si="2"/>
        <v>49.352499999999992</v>
      </c>
      <c r="M17" s="223">
        <f t="shared" si="2"/>
        <v>52.636499999999998</v>
      </c>
      <c r="N17" s="223">
        <f t="shared" si="2"/>
        <v>69.405555555555566</v>
      </c>
      <c r="O17" s="223">
        <f t="shared" si="2"/>
        <v>94.000000000000014</v>
      </c>
    </row>
    <row r="18" spans="1:24" ht="15" customHeight="1" x14ac:dyDescent="0.25">
      <c r="A18" s="208"/>
      <c r="B18" s="323" t="s">
        <v>215</v>
      </c>
      <c r="C18" s="224">
        <f>C17/'Melkstand und Herde'!C16</f>
        <v>4.6364145218664998E-2</v>
      </c>
      <c r="D18" s="225">
        <f>D17/'Melkstand und Herde'!D16</f>
        <v>8.0739531766585992E-2</v>
      </c>
      <c r="E18" s="225">
        <f>E17/'Melkstand und Herde'!E16</f>
        <v>7.3274952919020711E-2</v>
      </c>
      <c r="F18" s="225">
        <f>F17/'Melkstand und Herde'!F16</f>
        <v>9.0839659839924675E-2</v>
      </c>
      <c r="G18" s="225">
        <f>G17/'Melkstand und Herde'!G16</f>
        <v>7.5449780288763341E-2</v>
      </c>
      <c r="H18" s="225">
        <f>H17/'Melkstand und Herde'!H16</f>
        <v>6.1400266792215948E-2</v>
      </c>
      <c r="I18" s="225">
        <f>I17/'Melkstand und Herde'!I16</f>
        <v>7.6609580979284372E-2</v>
      </c>
      <c r="J18" s="225">
        <f>J17/'Melkstand und Herde'!J16</f>
        <v>4.53323622881356E-2</v>
      </c>
      <c r="K18" s="225">
        <f>K17/'Melkstand und Herde'!K16</f>
        <v>4.6364145218664998E-2</v>
      </c>
      <c r="L18" s="225">
        <f>L17/'Melkstand und Herde'!L16</f>
        <v>3.9694218848085369E-2</v>
      </c>
      <c r="M18" s="225">
        <f>M17/'Melkstand und Herde'!M16</f>
        <v>4.2335540254237289E-2</v>
      </c>
      <c r="N18" s="225">
        <f>N17/'Melkstand und Herde'!N16</f>
        <v>3.3493735614145224E-2</v>
      </c>
      <c r="O18" s="225">
        <f>O17/'Melkstand und Herde'!O16</f>
        <v>4.5362523540489655E-2</v>
      </c>
    </row>
    <row r="19" spans="1:24" ht="15" customHeight="1" x14ac:dyDescent="0.25">
      <c r="A19" s="208"/>
      <c r="B19" s="324" t="s">
        <v>216</v>
      </c>
      <c r="C19" s="226">
        <f t="shared" ref="C19:O19" si="3">C17*365/C4</f>
        <v>29.222981481481487</v>
      </c>
      <c r="D19" s="227">
        <f t="shared" si="3"/>
        <v>50.889536095417448</v>
      </c>
      <c r="E19" s="227">
        <f t="shared" si="3"/>
        <v>46.184666666666665</v>
      </c>
      <c r="F19" s="227">
        <f t="shared" si="3"/>
        <v>57.255572916666679</v>
      </c>
      <c r="G19" s="227">
        <f t="shared" si="3"/>
        <v>47.55544444444444</v>
      </c>
      <c r="H19" s="227">
        <f t="shared" si="3"/>
        <v>38.700138888888894</v>
      </c>
      <c r="I19" s="227">
        <f t="shared" si="3"/>
        <v>48.286458333333343</v>
      </c>
      <c r="J19" s="227">
        <f t="shared" si="3"/>
        <v>28.572656250000005</v>
      </c>
      <c r="K19" s="227">
        <f t="shared" si="3"/>
        <v>29.222981481481487</v>
      </c>
      <c r="L19" s="227">
        <f t="shared" si="3"/>
        <v>25.018975694444443</v>
      </c>
      <c r="M19" s="227">
        <f t="shared" si="3"/>
        <v>26.683781249999999</v>
      </c>
      <c r="N19" s="227">
        <f t="shared" si="3"/>
        <v>21.110856481481484</v>
      </c>
      <c r="O19" s="227">
        <f t="shared" si="3"/>
        <v>28.591666666666672</v>
      </c>
    </row>
    <row r="20" spans="1:24" ht="15" customHeight="1" x14ac:dyDescent="0.25">
      <c r="A20" s="219"/>
      <c r="B20" s="325" t="s">
        <v>4</v>
      </c>
      <c r="C20" s="228">
        <f t="shared" ref="C20:O20" si="4">C17/C7*1000</f>
        <v>2.9222981481481485</v>
      </c>
      <c r="D20" s="229">
        <f t="shared" si="4"/>
        <v>5.0889536095417451</v>
      </c>
      <c r="E20" s="229">
        <f t="shared" si="4"/>
        <v>4.6184666666666665</v>
      </c>
      <c r="F20" s="229">
        <f t="shared" si="4"/>
        <v>5.725557291666667</v>
      </c>
      <c r="G20" s="229">
        <f t="shared" si="4"/>
        <v>4.7555444444444444</v>
      </c>
      <c r="H20" s="229">
        <f t="shared" si="4"/>
        <v>3.8700138888888889</v>
      </c>
      <c r="I20" s="229">
        <f t="shared" si="4"/>
        <v>4.8286458333333337</v>
      </c>
      <c r="J20" s="229">
        <f t="shared" si="4"/>
        <v>2.8572656250000006</v>
      </c>
      <c r="K20" s="229">
        <f t="shared" si="4"/>
        <v>2.9222981481481485</v>
      </c>
      <c r="L20" s="229">
        <f t="shared" si="4"/>
        <v>2.5018975694444441</v>
      </c>
      <c r="M20" s="229">
        <f t="shared" si="4"/>
        <v>2.6683781249999998</v>
      </c>
      <c r="N20" s="229">
        <f t="shared" si="4"/>
        <v>2.111085648148149</v>
      </c>
      <c r="O20" s="229">
        <f t="shared" si="4"/>
        <v>2.8591666666666673</v>
      </c>
    </row>
    <row r="21" spans="1:24" ht="6.95" customHeight="1" x14ac:dyDescent="0.25">
      <c r="B21" s="316"/>
    </row>
    <row r="22" spans="1:24" s="197" customFormat="1" ht="18" customHeight="1" x14ac:dyDescent="0.25">
      <c r="A22" s="202" t="s">
        <v>145</v>
      </c>
      <c r="B22" s="317"/>
      <c r="C22" s="203"/>
      <c r="D22" s="203"/>
      <c r="E22" s="203"/>
      <c r="F22" s="203"/>
      <c r="G22" s="203"/>
      <c r="H22" s="203"/>
      <c r="I22" s="203"/>
      <c r="J22" s="203"/>
      <c r="K22" s="203"/>
      <c r="L22" s="203"/>
      <c r="M22" s="203"/>
      <c r="N22" s="203"/>
      <c r="O22" s="204"/>
    </row>
    <row r="23" spans="1:24" ht="15" customHeight="1" x14ac:dyDescent="0.25">
      <c r="A23" s="205" t="s">
        <v>1</v>
      </c>
      <c r="B23" s="318"/>
      <c r="C23" s="230">
        <f t="shared" ref="C23:O23" si="5">C10</f>
        <v>32</v>
      </c>
      <c r="D23" s="231">
        <f t="shared" si="5"/>
        <v>10</v>
      </c>
      <c r="E23" s="231">
        <f t="shared" si="5"/>
        <v>12</v>
      </c>
      <c r="F23" s="231">
        <f t="shared" si="5"/>
        <v>14</v>
      </c>
      <c r="G23" s="231">
        <f t="shared" si="5"/>
        <v>16</v>
      </c>
      <c r="H23" s="231">
        <f t="shared" si="5"/>
        <v>20</v>
      </c>
      <c r="I23" s="231">
        <f t="shared" si="5"/>
        <v>24</v>
      </c>
      <c r="J23" s="231">
        <f t="shared" si="5"/>
        <v>28</v>
      </c>
      <c r="K23" s="231">
        <f t="shared" si="5"/>
        <v>32</v>
      </c>
      <c r="L23" s="231">
        <f t="shared" si="5"/>
        <v>40</v>
      </c>
      <c r="M23" s="231">
        <f t="shared" si="5"/>
        <v>48</v>
      </c>
      <c r="N23" s="231">
        <f t="shared" si="5"/>
        <v>60</v>
      </c>
      <c r="O23" s="231">
        <f t="shared" si="5"/>
        <v>80</v>
      </c>
      <c r="X23" s="232"/>
    </row>
    <row r="24" spans="1:24" ht="15" customHeight="1" x14ac:dyDescent="0.25">
      <c r="A24" s="208" t="s">
        <v>94</v>
      </c>
      <c r="B24" s="319" t="s">
        <v>3</v>
      </c>
      <c r="C24" s="233">
        <f t="shared" ref="C24:O24" si="6">VLOOKUP(C23,$A$178:$G$218,7)</f>
        <v>1.5</v>
      </c>
      <c r="D24" s="214">
        <f t="shared" si="6"/>
        <v>0.55000000000000004</v>
      </c>
      <c r="E24" s="214">
        <f t="shared" si="6"/>
        <v>1.1000000000000001</v>
      </c>
      <c r="F24" s="214">
        <f t="shared" si="6"/>
        <v>1.1000000000000001</v>
      </c>
      <c r="G24" s="214">
        <f t="shared" si="6"/>
        <v>1.1000000000000001</v>
      </c>
      <c r="H24" s="214">
        <f t="shared" si="6"/>
        <v>1.1000000000000001</v>
      </c>
      <c r="I24" s="214">
        <f t="shared" si="6"/>
        <v>1.5</v>
      </c>
      <c r="J24" s="214">
        <f t="shared" si="6"/>
        <v>1.5</v>
      </c>
      <c r="K24" s="214">
        <f t="shared" si="6"/>
        <v>1.5</v>
      </c>
      <c r="L24" s="214">
        <f t="shared" si="6"/>
        <v>3</v>
      </c>
      <c r="M24" s="214">
        <f t="shared" si="6"/>
        <v>3</v>
      </c>
      <c r="N24" s="214">
        <f t="shared" si="6"/>
        <v>3</v>
      </c>
      <c r="O24" s="214">
        <f t="shared" si="6"/>
        <v>3</v>
      </c>
    </row>
    <row r="25" spans="1:24" s="237" customFormat="1" ht="15" customHeight="1" x14ac:dyDescent="0.25">
      <c r="A25" s="234" t="s">
        <v>96</v>
      </c>
      <c r="B25" s="319" t="s">
        <v>95</v>
      </c>
      <c r="C25" s="235">
        <f t="shared" ref="C25:O25" si="7">C7</f>
        <v>13150.684931506848</v>
      </c>
      <c r="D25" s="236">
        <f t="shared" si="7"/>
        <v>1643.8356164383561</v>
      </c>
      <c r="E25" s="236">
        <f t="shared" si="7"/>
        <v>1917.8082191780823</v>
      </c>
      <c r="F25" s="236">
        <f t="shared" si="7"/>
        <v>2191.7808219178082</v>
      </c>
      <c r="G25" s="236">
        <f t="shared" si="7"/>
        <v>3287.6712328767121</v>
      </c>
      <c r="H25" s="236">
        <f t="shared" si="7"/>
        <v>4931.5068493150684</v>
      </c>
      <c r="I25" s="236">
        <f t="shared" si="7"/>
        <v>6575.3424657534242</v>
      </c>
      <c r="J25" s="236">
        <f t="shared" si="7"/>
        <v>13150.684931506848</v>
      </c>
      <c r="K25" s="236">
        <f t="shared" si="7"/>
        <v>13150.684931506848</v>
      </c>
      <c r="L25" s="236">
        <f t="shared" si="7"/>
        <v>19726.027397260274</v>
      </c>
      <c r="M25" s="236">
        <f t="shared" si="7"/>
        <v>19726.027397260274</v>
      </c>
      <c r="N25" s="236">
        <f t="shared" si="7"/>
        <v>32876.71232876712</v>
      </c>
      <c r="O25" s="236">
        <f t="shared" si="7"/>
        <v>32876.71232876712</v>
      </c>
    </row>
    <row r="26" spans="1:24" ht="15" customHeight="1" x14ac:dyDescent="0.25">
      <c r="A26" s="215" t="s">
        <v>125</v>
      </c>
      <c r="B26" s="320" t="s">
        <v>9</v>
      </c>
      <c r="C26" s="238">
        <f t="shared" ref="C26:O26" si="8">VLOOKUP(C23,$A$177:$H$218,8)</f>
        <v>10600</v>
      </c>
      <c r="D26" s="239">
        <f t="shared" si="8"/>
        <v>3300</v>
      </c>
      <c r="E26" s="239">
        <f t="shared" si="8"/>
        <v>6100</v>
      </c>
      <c r="F26" s="239">
        <f t="shared" si="8"/>
        <v>6100</v>
      </c>
      <c r="G26" s="239">
        <f t="shared" si="8"/>
        <v>6100</v>
      </c>
      <c r="H26" s="239">
        <f t="shared" si="8"/>
        <v>6100</v>
      </c>
      <c r="I26" s="239">
        <f t="shared" si="8"/>
        <v>10600</v>
      </c>
      <c r="J26" s="239">
        <f t="shared" si="8"/>
        <v>10600</v>
      </c>
      <c r="K26" s="239">
        <f t="shared" si="8"/>
        <v>10600</v>
      </c>
      <c r="L26" s="239">
        <f t="shared" si="8"/>
        <v>12200</v>
      </c>
      <c r="M26" s="239">
        <f t="shared" si="8"/>
        <v>12200</v>
      </c>
      <c r="N26" s="239">
        <f t="shared" si="8"/>
        <v>12200</v>
      </c>
      <c r="O26" s="239">
        <f t="shared" si="8"/>
        <v>12200</v>
      </c>
    </row>
    <row r="27" spans="1:24" ht="15" customHeight="1" x14ac:dyDescent="0.25">
      <c r="A27" s="208" t="s">
        <v>208</v>
      </c>
      <c r="B27" s="319" t="s">
        <v>10</v>
      </c>
      <c r="C27" s="240">
        <v>60</v>
      </c>
      <c r="D27" s="214">
        <v>60</v>
      </c>
      <c r="E27" s="214">
        <v>60</v>
      </c>
      <c r="F27" s="214">
        <v>60</v>
      </c>
      <c r="G27" s="214">
        <v>60</v>
      </c>
      <c r="H27" s="214">
        <v>60</v>
      </c>
      <c r="I27" s="214">
        <v>60</v>
      </c>
      <c r="J27" s="214">
        <v>60</v>
      </c>
      <c r="K27" s="214">
        <v>60</v>
      </c>
      <c r="L27" s="214">
        <v>60</v>
      </c>
      <c r="M27" s="214">
        <v>60</v>
      </c>
      <c r="N27" s="214">
        <v>60</v>
      </c>
      <c r="O27" s="214">
        <v>60</v>
      </c>
    </row>
    <row r="28" spans="1:24" ht="15" customHeight="1" x14ac:dyDescent="0.25">
      <c r="A28" s="208" t="s">
        <v>97</v>
      </c>
      <c r="B28" s="319" t="s">
        <v>6</v>
      </c>
      <c r="C28" s="216">
        <f t="shared" ref="C28" si="9">C25/C26/C27%</f>
        <v>2.0677177565262341</v>
      </c>
      <c r="D28" s="217">
        <f t="shared" ref="D28:O28" si="10">D25/D26/D27%</f>
        <v>0.83022000830220011</v>
      </c>
      <c r="E28" s="217">
        <f t="shared" si="10"/>
        <v>0.52399131671532306</v>
      </c>
      <c r="F28" s="217">
        <f t="shared" si="10"/>
        <v>0.59884721910322625</v>
      </c>
      <c r="G28" s="217">
        <f t="shared" si="10"/>
        <v>0.89827082865483954</v>
      </c>
      <c r="H28" s="217">
        <f t="shared" si="10"/>
        <v>1.3474062429822593</v>
      </c>
      <c r="I28" s="217">
        <f t="shared" si="10"/>
        <v>1.0338588782631171</v>
      </c>
      <c r="J28" s="217">
        <f t="shared" si="10"/>
        <v>2.0677177565262341</v>
      </c>
      <c r="K28" s="217">
        <f t="shared" si="10"/>
        <v>2.0677177565262341</v>
      </c>
      <c r="L28" s="217">
        <f t="shared" si="10"/>
        <v>2.6948124859645186</v>
      </c>
      <c r="M28" s="217">
        <f t="shared" si="10"/>
        <v>2.6948124859645186</v>
      </c>
      <c r="N28" s="217">
        <f t="shared" si="10"/>
        <v>4.4913541432741972</v>
      </c>
      <c r="O28" s="217">
        <f t="shared" si="10"/>
        <v>4.4913541432741972</v>
      </c>
    </row>
    <row r="29" spans="1:24" ht="15" customHeight="1" x14ac:dyDescent="0.25">
      <c r="A29" s="208" t="s">
        <v>11</v>
      </c>
      <c r="B29" s="319" t="s">
        <v>6</v>
      </c>
      <c r="C29" s="241">
        <f t="shared" ref="C29:O29" si="11">C15</f>
        <v>1</v>
      </c>
      <c r="D29" s="217">
        <f t="shared" si="11"/>
        <v>1</v>
      </c>
      <c r="E29" s="217">
        <f t="shared" si="11"/>
        <v>1</v>
      </c>
      <c r="F29" s="217">
        <f t="shared" si="11"/>
        <v>1</v>
      </c>
      <c r="G29" s="217">
        <f t="shared" si="11"/>
        <v>1</v>
      </c>
      <c r="H29" s="217">
        <f t="shared" si="11"/>
        <v>1</v>
      </c>
      <c r="I29" s="217">
        <f t="shared" si="11"/>
        <v>1</v>
      </c>
      <c r="J29" s="217">
        <f t="shared" si="11"/>
        <v>1</v>
      </c>
      <c r="K29" s="217">
        <f t="shared" si="11"/>
        <v>1</v>
      </c>
      <c r="L29" s="217">
        <f t="shared" si="11"/>
        <v>1</v>
      </c>
      <c r="M29" s="217">
        <f t="shared" si="11"/>
        <v>1</v>
      </c>
      <c r="N29" s="217">
        <f t="shared" si="11"/>
        <v>1</v>
      </c>
      <c r="O29" s="217">
        <f t="shared" si="11"/>
        <v>1</v>
      </c>
    </row>
    <row r="30" spans="1:24" ht="15" customHeight="1" x14ac:dyDescent="0.25">
      <c r="A30" s="208" t="s">
        <v>99</v>
      </c>
      <c r="B30" s="319" t="s">
        <v>10</v>
      </c>
      <c r="C30" s="240">
        <v>75</v>
      </c>
      <c r="D30" s="214">
        <v>75</v>
      </c>
      <c r="E30" s="214">
        <v>75</v>
      </c>
      <c r="F30" s="214">
        <v>75</v>
      </c>
      <c r="G30" s="214">
        <v>75</v>
      </c>
      <c r="H30" s="214">
        <v>75</v>
      </c>
      <c r="I30" s="214">
        <v>75</v>
      </c>
      <c r="J30" s="214">
        <v>75</v>
      </c>
      <c r="K30" s="214">
        <v>75</v>
      </c>
      <c r="L30" s="214">
        <v>75</v>
      </c>
      <c r="M30" s="214">
        <v>75</v>
      </c>
      <c r="N30" s="214">
        <v>75</v>
      </c>
      <c r="O30" s="214">
        <v>75</v>
      </c>
    </row>
    <row r="31" spans="1:24" ht="15" customHeight="1" x14ac:dyDescent="0.25">
      <c r="A31" s="208" t="s">
        <v>15</v>
      </c>
      <c r="B31" s="319" t="s">
        <v>6</v>
      </c>
      <c r="C31" s="242">
        <f t="shared" ref="C31" si="12">C29*C30%</f>
        <v>0.75</v>
      </c>
      <c r="D31" s="214">
        <f t="shared" ref="D31:O31" si="13">D29*D30%</f>
        <v>0.75</v>
      </c>
      <c r="E31" s="214">
        <f t="shared" si="13"/>
        <v>0.75</v>
      </c>
      <c r="F31" s="214">
        <f t="shared" si="13"/>
        <v>0.75</v>
      </c>
      <c r="G31" s="214">
        <f t="shared" si="13"/>
        <v>0.75</v>
      </c>
      <c r="H31" s="214">
        <f t="shared" si="13"/>
        <v>0.75</v>
      </c>
      <c r="I31" s="214">
        <f t="shared" si="13"/>
        <v>0.75</v>
      </c>
      <c r="J31" s="214">
        <f t="shared" si="13"/>
        <v>0.75</v>
      </c>
      <c r="K31" s="214">
        <f t="shared" si="13"/>
        <v>0.75</v>
      </c>
      <c r="L31" s="214">
        <f t="shared" si="13"/>
        <v>0.75</v>
      </c>
      <c r="M31" s="214">
        <f t="shared" si="13"/>
        <v>0.75</v>
      </c>
      <c r="N31" s="214">
        <f t="shared" si="13"/>
        <v>0.75</v>
      </c>
      <c r="O31" s="214">
        <f t="shared" si="13"/>
        <v>0.75</v>
      </c>
    </row>
    <row r="32" spans="1:24" ht="15" customHeight="1" x14ac:dyDescent="0.25">
      <c r="A32" s="219" t="s">
        <v>98</v>
      </c>
      <c r="B32" s="321" t="s">
        <v>6</v>
      </c>
      <c r="C32" s="243">
        <f t="shared" ref="C32" si="14">C31+C28</f>
        <v>2.8177177565262341</v>
      </c>
      <c r="D32" s="244">
        <f t="shared" ref="D32:O32" si="15">D31+D28</f>
        <v>1.5802200083022</v>
      </c>
      <c r="E32" s="244">
        <f t="shared" si="15"/>
        <v>1.273991316715323</v>
      </c>
      <c r="F32" s="244">
        <f t="shared" si="15"/>
        <v>1.3488472191032264</v>
      </c>
      <c r="G32" s="244">
        <f t="shared" si="15"/>
        <v>1.6482708286548395</v>
      </c>
      <c r="H32" s="244">
        <f t="shared" si="15"/>
        <v>2.0974062429822595</v>
      </c>
      <c r="I32" s="244">
        <f t="shared" si="15"/>
        <v>1.7838588782631171</v>
      </c>
      <c r="J32" s="244">
        <f t="shared" si="15"/>
        <v>2.8177177565262341</v>
      </c>
      <c r="K32" s="244">
        <f t="shared" si="15"/>
        <v>2.8177177565262341</v>
      </c>
      <c r="L32" s="244">
        <f t="shared" si="15"/>
        <v>3.4448124859645186</v>
      </c>
      <c r="M32" s="244">
        <f t="shared" si="15"/>
        <v>3.4448124859645186</v>
      </c>
      <c r="N32" s="244">
        <f t="shared" si="15"/>
        <v>5.2413541432741972</v>
      </c>
      <c r="O32" s="244">
        <f t="shared" si="15"/>
        <v>5.2413541432741972</v>
      </c>
    </row>
    <row r="33" spans="1:19" ht="15" customHeight="1" x14ac:dyDescent="0.25">
      <c r="A33" s="205" t="s">
        <v>152</v>
      </c>
      <c r="B33" s="322" t="s">
        <v>16</v>
      </c>
      <c r="C33" s="222">
        <f t="shared" ref="C33" si="16">C32*C24</f>
        <v>4.2265766347893514</v>
      </c>
      <c r="D33" s="223">
        <f t="shared" ref="D33:O33" si="17">D32*D24</f>
        <v>0.86912100456621011</v>
      </c>
      <c r="E33" s="223">
        <f t="shared" si="17"/>
        <v>1.4013904483868553</v>
      </c>
      <c r="F33" s="223">
        <f t="shared" si="17"/>
        <v>1.4837319410135492</v>
      </c>
      <c r="G33" s="223">
        <f t="shared" si="17"/>
        <v>1.8130979115203236</v>
      </c>
      <c r="H33" s="223">
        <f t="shared" si="17"/>
        <v>2.3071468672804856</v>
      </c>
      <c r="I33" s="223">
        <f t="shared" si="17"/>
        <v>2.6757883173946757</v>
      </c>
      <c r="J33" s="223">
        <f t="shared" si="17"/>
        <v>4.2265766347893514</v>
      </c>
      <c r="K33" s="223">
        <f t="shared" si="17"/>
        <v>4.2265766347893514</v>
      </c>
      <c r="L33" s="223">
        <f t="shared" si="17"/>
        <v>10.334437457893555</v>
      </c>
      <c r="M33" s="223">
        <f t="shared" si="17"/>
        <v>10.334437457893555</v>
      </c>
      <c r="N33" s="223">
        <f t="shared" si="17"/>
        <v>15.724062429822592</v>
      </c>
      <c r="O33" s="223">
        <f t="shared" si="17"/>
        <v>15.724062429822592</v>
      </c>
    </row>
    <row r="34" spans="1:19" ht="15" customHeight="1" x14ac:dyDescent="0.25">
      <c r="A34" s="208"/>
      <c r="B34" s="323" t="s">
        <v>100</v>
      </c>
      <c r="C34" s="224">
        <f>C33/'Melkstand und Herde'!C16</f>
        <v>5.0991537790243471E-3</v>
      </c>
      <c r="D34" s="225">
        <f>D33/'Melkstand und Herde'!D16</f>
        <v>8.3884089423763211E-3</v>
      </c>
      <c r="E34" s="225">
        <f>E33/'Melkstand und Herde'!E16</f>
        <v>1.1593423806267367E-2</v>
      </c>
      <c r="F34" s="225">
        <f>F33/'Melkstand und Herde'!F16</f>
        <v>1.0740291239681411E-2</v>
      </c>
      <c r="G34" s="225">
        <f>G33/'Melkstand und Herde'!G16</f>
        <v>8.7496485843141791E-3</v>
      </c>
      <c r="H34" s="225">
        <f>H33/'Melkstand und Herde'!H16</f>
        <v>7.4225534807360258E-3</v>
      </c>
      <c r="I34" s="225">
        <f>I33/'Melkstand und Herde'!I16</f>
        <v>6.4564101349565504E-3</v>
      </c>
      <c r="J34" s="225">
        <f>J33/'Melkstand und Herde'!J16</f>
        <v>5.0991537790243471E-3</v>
      </c>
      <c r="K34" s="225">
        <f>K33/'Melkstand und Herde'!K16</f>
        <v>5.0991537790243471E-3</v>
      </c>
      <c r="L34" s="225">
        <f>L33/'Melkstand und Herde'!L16</f>
        <v>8.3119886961243675E-3</v>
      </c>
      <c r="M34" s="225">
        <f>M33/'Melkstand und Herde'!M16</f>
        <v>8.3119886961243675E-3</v>
      </c>
      <c r="N34" s="225">
        <f>N33/'Melkstand und Herde'!N16</f>
        <v>7.5881186396271928E-3</v>
      </c>
      <c r="O34" s="225">
        <f>O33/'Melkstand und Herde'!O16</f>
        <v>7.5881186396271928E-3</v>
      </c>
    </row>
    <row r="35" spans="1:19" ht="15" customHeight="1" x14ac:dyDescent="0.25">
      <c r="A35" s="208"/>
      <c r="B35" s="324" t="s">
        <v>216</v>
      </c>
      <c r="C35" s="226">
        <f t="shared" ref="C35:O35" si="18">C33*365/C4</f>
        <v>3.213959316037736</v>
      </c>
      <c r="D35" s="227">
        <f t="shared" si="18"/>
        <v>5.287152777777778</v>
      </c>
      <c r="E35" s="227">
        <f t="shared" si="18"/>
        <v>7.3072501951600319</v>
      </c>
      <c r="F35" s="227">
        <f t="shared" si="18"/>
        <v>6.7695269808743177</v>
      </c>
      <c r="G35" s="227">
        <f t="shared" si="18"/>
        <v>5.5148394808743175</v>
      </c>
      <c r="H35" s="227">
        <f t="shared" si="18"/>
        <v>4.6783811475409847</v>
      </c>
      <c r="I35" s="227">
        <f t="shared" si="18"/>
        <v>4.0694280660377355</v>
      </c>
      <c r="J35" s="227">
        <f t="shared" si="18"/>
        <v>3.213959316037736</v>
      </c>
      <c r="K35" s="227">
        <f t="shared" si="18"/>
        <v>3.213959316037736</v>
      </c>
      <c r="L35" s="227">
        <f t="shared" si="18"/>
        <v>5.2389856557377055</v>
      </c>
      <c r="M35" s="227">
        <f t="shared" si="18"/>
        <v>5.2389856557377055</v>
      </c>
      <c r="N35" s="227">
        <f t="shared" si="18"/>
        <v>4.7827356557377056</v>
      </c>
      <c r="O35" s="227">
        <f t="shared" si="18"/>
        <v>4.7827356557377056</v>
      </c>
    </row>
    <row r="36" spans="1:19" ht="15" customHeight="1" x14ac:dyDescent="0.25">
      <c r="A36" s="219"/>
      <c r="B36" s="325" t="s">
        <v>4</v>
      </c>
      <c r="C36" s="228">
        <f t="shared" ref="C36:O36" si="19">C33/C7*1000</f>
        <v>0.32139593160377361</v>
      </c>
      <c r="D36" s="229">
        <f t="shared" si="19"/>
        <v>0.52871527777777783</v>
      </c>
      <c r="E36" s="229">
        <f t="shared" si="19"/>
        <v>0.7307250195160031</v>
      </c>
      <c r="F36" s="229">
        <f t="shared" si="19"/>
        <v>0.67695269808743186</v>
      </c>
      <c r="G36" s="229">
        <f t="shared" si="19"/>
        <v>0.55148394808743173</v>
      </c>
      <c r="H36" s="229">
        <f t="shared" si="19"/>
        <v>0.46783811475409848</v>
      </c>
      <c r="I36" s="229">
        <f t="shared" si="19"/>
        <v>0.40694280660377363</v>
      </c>
      <c r="J36" s="229">
        <f t="shared" si="19"/>
        <v>0.32139593160377361</v>
      </c>
      <c r="K36" s="229">
        <f t="shared" si="19"/>
        <v>0.32139593160377361</v>
      </c>
      <c r="L36" s="229">
        <f t="shared" si="19"/>
        <v>0.52389856557377046</v>
      </c>
      <c r="M36" s="229">
        <f t="shared" si="19"/>
        <v>0.52389856557377046</v>
      </c>
      <c r="N36" s="229">
        <f t="shared" si="19"/>
        <v>0.47827356557377054</v>
      </c>
      <c r="O36" s="229">
        <f t="shared" si="19"/>
        <v>0.47827356557377054</v>
      </c>
    </row>
    <row r="37" spans="1:19" ht="6.95" customHeight="1" x14ac:dyDescent="0.25">
      <c r="B37" s="326"/>
    </row>
    <row r="38" spans="1:19" s="197" customFormat="1" ht="18" customHeight="1" x14ac:dyDescent="0.25">
      <c r="A38" s="202" t="s">
        <v>221</v>
      </c>
      <c r="B38" s="317"/>
      <c r="C38" s="203"/>
      <c r="D38" s="203"/>
      <c r="E38" s="203"/>
      <c r="F38" s="203"/>
      <c r="G38" s="203"/>
      <c r="H38" s="203"/>
      <c r="I38" s="203"/>
      <c r="J38" s="203"/>
      <c r="K38" s="203"/>
      <c r="L38" s="203"/>
      <c r="M38" s="203"/>
      <c r="N38" s="203"/>
      <c r="O38" s="204"/>
    </row>
    <row r="39" spans="1:19" ht="15" customHeight="1" x14ac:dyDescent="0.25">
      <c r="A39" s="205" t="s">
        <v>1</v>
      </c>
      <c r="B39" s="318"/>
      <c r="C39" s="230">
        <f t="shared" ref="C39:O39" si="20">C10</f>
        <v>32</v>
      </c>
      <c r="D39" s="231">
        <f t="shared" si="20"/>
        <v>10</v>
      </c>
      <c r="E39" s="231">
        <f t="shared" si="20"/>
        <v>12</v>
      </c>
      <c r="F39" s="231">
        <f t="shared" si="20"/>
        <v>14</v>
      </c>
      <c r="G39" s="231">
        <f t="shared" si="20"/>
        <v>16</v>
      </c>
      <c r="H39" s="231">
        <f t="shared" si="20"/>
        <v>20</v>
      </c>
      <c r="I39" s="231">
        <f t="shared" si="20"/>
        <v>24</v>
      </c>
      <c r="J39" s="231">
        <f t="shared" si="20"/>
        <v>28</v>
      </c>
      <c r="K39" s="231">
        <f t="shared" si="20"/>
        <v>32</v>
      </c>
      <c r="L39" s="231">
        <f t="shared" si="20"/>
        <v>40</v>
      </c>
      <c r="M39" s="231">
        <f t="shared" si="20"/>
        <v>48</v>
      </c>
      <c r="N39" s="231">
        <f t="shared" si="20"/>
        <v>60</v>
      </c>
      <c r="O39" s="231">
        <f t="shared" si="20"/>
        <v>80</v>
      </c>
      <c r="P39" s="245"/>
      <c r="Q39" s="246"/>
      <c r="R39" s="247"/>
      <c r="S39" s="247"/>
    </row>
    <row r="40" spans="1:19" ht="15" customHeight="1" x14ac:dyDescent="0.25">
      <c r="A40" s="248" t="s">
        <v>120</v>
      </c>
      <c r="B40" s="327" t="s">
        <v>53</v>
      </c>
      <c r="C40" s="249">
        <f>Wasser!C18</f>
        <v>465.51063221161871</v>
      </c>
      <c r="D40" s="250">
        <f>Wasser!D18</f>
        <v>102.27104951355781</v>
      </c>
      <c r="E40" s="250">
        <f>Wasser!E18</f>
        <v>122.12812854335073</v>
      </c>
      <c r="F40" s="250">
        <f>Wasser!F18</f>
        <v>141.98520757314361</v>
      </c>
      <c r="G40" s="250">
        <f>Wasser!G18</f>
        <v>161.8422866029365</v>
      </c>
      <c r="H40" s="250">
        <f>Wasser!H18</f>
        <v>266.21042147546245</v>
      </c>
      <c r="I40" s="250">
        <f>Wasser!I18</f>
        <v>305.92457953504822</v>
      </c>
      <c r="J40" s="250">
        <f>Wasser!J18</f>
        <v>369.38917805682451</v>
      </c>
      <c r="K40" s="250">
        <f>Wasser!K18</f>
        <v>465.51063221161871</v>
      </c>
      <c r="L40" s="250">
        <f>Wasser!L18</f>
        <v>588.48142251059778</v>
      </c>
      <c r="M40" s="250">
        <f>Wasser!M18</f>
        <v>711.45221280957674</v>
      </c>
      <c r="N40" s="250">
        <f>Wasser!N18</f>
        <v>892.22503682617275</v>
      </c>
      <c r="O40" s="250">
        <f>Wasser!O18</f>
        <v>1150.1719282780027</v>
      </c>
      <c r="P40" s="245"/>
      <c r="Q40" s="246"/>
      <c r="R40" s="247"/>
      <c r="S40" s="247"/>
    </row>
    <row r="41" spans="1:19" ht="15" customHeight="1" x14ac:dyDescent="0.25">
      <c r="A41" s="248" t="s">
        <v>102</v>
      </c>
      <c r="B41" s="327" t="s">
        <v>103</v>
      </c>
      <c r="C41" s="251">
        <v>10</v>
      </c>
      <c r="D41" s="250">
        <v>10</v>
      </c>
      <c r="E41" s="250">
        <v>10</v>
      </c>
      <c r="F41" s="250">
        <v>10</v>
      </c>
      <c r="G41" s="250">
        <v>10</v>
      </c>
      <c r="H41" s="250">
        <v>10</v>
      </c>
      <c r="I41" s="250">
        <v>10</v>
      </c>
      <c r="J41" s="250">
        <v>10</v>
      </c>
      <c r="K41" s="250">
        <v>10</v>
      </c>
      <c r="L41" s="250">
        <v>10</v>
      </c>
      <c r="M41" s="250">
        <v>10</v>
      </c>
      <c r="N41" s="250">
        <v>10</v>
      </c>
      <c r="O41" s="250">
        <v>10</v>
      </c>
      <c r="P41" s="245"/>
      <c r="Q41" s="246"/>
      <c r="R41" s="247"/>
      <c r="S41" s="247"/>
    </row>
    <row r="42" spans="1:19" ht="15" customHeight="1" x14ac:dyDescent="0.25">
      <c r="A42" s="248" t="s">
        <v>107</v>
      </c>
      <c r="B42" s="327" t="s">
        <v>103</v>
      </c>
      <c r="C42" s="251">
        <v>85</v>
      </c>
      <c r="D42" s="250">
        <v>85</v>
      </c>
      <c r="E42" s="250">
        <v>85</v>
      </c>
      <c r="F42" s="250">
        <v>85</v>
      </c>
      <c r="G42" s="250">
        <v>85</v>
      </c>
      <c r="H42" s="250">
        <v>85</v>
      </c>
      <c r="I42" s="250">
        <v>85</v>
      </c>
      <c r="J42" s="250">
        <v>85</v>
      </c>
      <c r="K42" s="250">
        <v>85</v>
      </c>
      <c r="L42" s="250">
        <v>85</v>
      </c>
      <c r="M42" s="250">
        <v>85</v>
      </c>
      <c r="N42" s="250">
        <v>85</v>
      </c>
      <c r="O42" s="250">
        <v>85</v>
      </c>
      <c r="P42" s="245"/>
      <c r="Q42" s="246"/>
      <c r="R42" s="247"/>
      <c r="S42" s="247"/>
    </row>
    <row r="43" spans="1:19" ht="15" customHeight="1" x14ac:dyDescent="0.25">
      <c r="A43" s="248" t="s">
        <v>106</v>
      </c>
      <c r="B43" s="327" t="s">
        <v>209</v>
      </c>
      <c r="C43" s="252">
        <f t="shared" ref="C43:O43" si="21">(C42-C41)*C40*$C$157</f>
        <v>40.604164894658446</v>
      </c>
      <c r="D43" s="212">
        <f t="shared" si="21"/>
        <v>8.9205922938200803</v>
      </c>
      <c r="E43" s="212">
        <f t="shared" si="21"/>
        <v>10.652626012193767</v>
      </c>
      <c r="F43" s="212">
        <f t="shared" si="21"/>
        <v>12.384659730567451</v>
      </c>
      <c r="G43" s="212">
        <f t="shared" si="21"/>
        <v>14.116693448941135</v>
      </c>
      <c r="H43" s="212">
        <f t="shared" si="21"/>
        <v>23.220204013197211</v>
      </c>
      <c r="I43" s="212">
        <f t="shared" si="21"/>
        <v>26.684271449944578</v>
      </c>
      <c r="J43" s="212">
        <f t="shared" si="21"/>
        <v>32.219971056006514</v>
      </c>
      <c r="K43" s="212">
        <f t="shared" si="21"/>
        <v>40.604164894658446</v>
      </c>
      <c r="L43" s="212">
        <f t="shared" si="21"/>
        <v>51.330292078486892</v>
      </c>
      <c r="M43" s="212">
        <f t="shared" si="21"/>
        <v>62.056419262315323</v>
      </c>
      <c r="N43" s="212">
        <f t="shared" si="21"/>
        <v>77.824328837162909</v>
      </c>
      <c r="O43" s="212">
        <f t="shared" si="21"/>
        <v>100.32374644404878</v>
      </c>
      <c r="P43" s="245"/>
      <c r="Q43" s="246"/>
      <c r="R43" s="247"/>
      <c r="S43" s="247"/>
    </row>
    <row r="44" spans="1:19" ht="15" customHeight="1" x14ac:dyDescent="0.25">
      <c r="A44" s="253" t="s">
        <v>210</v>
      </c>
      <c r="B44" s="328" t="s">
        <v>197</v>
      </c>
      <c r="C44" s="254">
        <f>'Melkstand und Herde'!C17</f>
        <v>2</v>
      </c>
      <c r="D44" s="221">
        <f>'Melkstand und Herde'!D17</f>
        <v>2</v>
      </c>
      <c r="E44" s="221">
        <f>'Melkstand und Herde'!E17</f>
        <v>2</v>
      </c>
      <c r="F44" s="221">
        <f>'Melkstand und Herde'!F17</f>
        <v>2</v>
      </c>
      <c r="G44" s="221">
        <f>'Melkstand und Herde'!G17</f>
        <v>2</v>
      </c>
      <c r="H44" s="221">
        <f>'Melkstand und Herde'!H17</f>
        <v>2</v>
      </c>
      <c r="I44" s="221">
        <f>'Melkstand und Herde'!I17</f>
        <v>2</v>
      </c>
      <c r="J44" s="221">
        <f>'Melkstand und Herde'!J17</f>
        <v>2</v>
      </c>
      <c r="K44" s="221">
        <f>'Melkstand und Herde'!K17</f>
        <v>2</v>
      </c>
      <c r="L44" s="221">
        <f>'Melkstand und Herde'!L17</f>
        <v>2</v>
      </c>
      <c r="M44" s="221">
        <f>'Melkstand und Herde'!M17</f>
        <v>2</v>
      </c>
      <c r="N44" s="221">
        <f>'Melkstand und Herde'!N17</f>
        <v>2</v>
      </c>
      <c r="O44" s="221">
        <f>'Melkstand und Herde'!O17</f>
        <v>2</v>
      </c>
      <c r="P44" s="245"/>
      <c r="Q44" s="246"/>
      <c r="R44" s="247"/>
      <c r="S44" s="247"/>
    </row>
    <row r="45" spans="1:19" ht="15" customHeight="1" x14ac:dyDescent="0.25">
      <c r="A45" s="205" t="s">
        <v>152</v>
      </c>
      <c r="B45" s="322" t="s">
        <v>16</v>
      </c>
      <c r="C45" s="222">
        <f t="shared" ref="C45:O45" si="22">C44*C43</f>
        <v>81.208329789316892</v>
      </c>
      <c r="D45" s="223">
        <f t="shared" si="22"/>
        <v>17.841184587640161</v>
      </c>
      <c r="E45" s="223">
        <f t="shared" si="22"/>
        <v>21.305252024387535</v>
      </c>
      <c r="F45" s="223">
        <f t="shared" si="22"/>
        <v>24.769319461134902</v>
      </c>
      <c r="G45" s="223">
        <f t="shared" si="22"/>
        <v>28.233386897882269</v>
      </c>
      <c r="H45" s="223">
        <f t="shared" si="22"/>
        <v>46.440408026394422</v>
      </c>
      <c r="I45" s="223">
        <f t="shared" si="22"/>
        <v>53.368542899889157</v>
      </c>
      <c r="J45" s="223">
        <f t="shared" si="22"/>
        <v>64.439942112013028</v>
      </c>
      <c r="K45" s="223">
        <f t="shared" si="22"/>
        <v>81.208329789316892</v>
      </c>
      <c r="L45" s="223">
        <f t="shared" si="22"/>
        <v>102.66058415697378</v>
      </c>
      <c r="M45" s="223">
        <f t="shared" si="22"/>
        <v>124.11283852463065</v>
      </c>
      <c r="N45" s="223">
        <f t="shared" si="22"/>
        <v>155.64865767432582</v>
      </c>
      <c r="O45" s="223">
        <f t="shared" si="22"/>
        <v>200.64749288809756</v>
      </c>
      <c r="P45" s="245"/>
      <c r="Q45" s="246"/>
      <c r="R45" s="247"/>
      <c r="S45" s="247"/>
    </row>
    <row r="46" spans="1:19" ht="15" customHeight="1" x14ac:dyDescent="0.25">
      <c r="A46" s="208"/>
      <c r="B46" s="323" t="s">
        <v>100</v>
      </c>
      <c r="C46" s="224">
        <f>C45/'Melkstand und Herde'!C16</f>
        <v>9.7973797121056749E-2</v>
      </c>
      <c r="D46" s="225">
        <f>D45/'Melkstand und Herde'!D16</f>
        <v>0.17219599060575486</v>
      </c>
      <c r="E46" s="225">
        <f>E45/'Melkstand und Herde'!E16</f>
        <v>0.17625410270377098</v>
      </c>
      <c r="F46" s="225">
        <f>F45/'Melkstand und Herde'!F16</f>
        <v>0.179297686777283</v>
      </c>
      <c r="G46" s="225">
        <f>G45/'Melkstand und Herde'!G16</f>
        <v>0.13624868912584429</v>
      </c>
      <c r="H46" s="225">
        <f>H45/'Melkstand und Herde'!H16</f>
        <v>0.14940809236363556</v>
      </c>
      <c r="I46" s="225">
        <f>I45/'Melkstand und Herde'!I16</f>
        <v>0.12877296721371559</v>
      </c>
      <c r="J46" s="225">
        <f>J45/'Melkstand und Herde'!J16</f>
        <v>7.7743574228829285E-2</v>
      </c>
      <c r="K46" s="225">
        <f>K45/'Melkstand und Herde'!K16</f>
        <v>9.7973797121056749E-2</v>
      </c>
      <c r="L46" s="225">
        <f>L45/'Melkstand und Herde'!L16</f>
        <v>8.2569914281935136E-2</v>
      </c>
      <c r="M46" s="225">
        <f>M45/'Melkstand und Herde'!M16</f>
        <v>9.9823963816499078E-2</v>
      </c>
      <c r="N46" s="225">
        <f>N45/'Melkstand und Herde'!N16</f>
        <v>7.5112935082949139E-2</v>
      </c>
      <c r="O46" s="225">
        <f>O45/'Melkstand und Herde'!O16</f>
        <v>9.6828474675282494E-2</v>
      </c>
      <c r="P46" s="245"/>
      <c r="Q46" s="246"/>
      <c r="R46" s="247"/>
      <c r="S46" s="247"/>
    </row>
    <row r="47" spans="1:19" ht="15" customHeight="1" x14ac:dyDescent="0.25">
      <c r="A47" s="208"/>
      <c r="B47" s="324" t="s">
        <v>216</v>
      </c>
      <c r="C47" s="226">
        <f t="shared" ref="C47:O47" si="23">C45*365/C4</f>
        <v>61.752167443959721</v>
      </c>
      <c r="D47" s="227">
        <f t="shared" si="23"/>
        <v>108.5338729081443</v>
      </c>
      <c r="E47" s="227">
        <f t="shared" si="23"/>
        <v>111.09167127002071</v>
      </c>
      <c r="F47" s="227">
        <f t="shared" si="23"/>
        <v>113.01002004142799</v>
      </c>
      <c r="G47" s="227">
        <f t="shared" si="23"/>
        <v>85.876551814391902</v>
      </c>
      <c r="H47" s="227">
        <f t="shared" si="23"/>
        <v>94.17082738685535</v>
      </c>
      <c r="I47" s="227">
        <f t="shared" si="23"/>
        <v>81.164658993581426</v>
      </c>
      <c r="J47" s="227">
        <f t="shared" si="23"/>
        <v>49.001205981009903</v>
      </c>
      <c r="K47" s="227">
        <f t="shared" si="23"/>
        <v>61.752167443959721</v>
      </c>
      <c r="L47" s="227">
        <f t="shared" si="23"/>
        <v>52.043212801799207</v>
      </c>
      <c r="M47" s="227">
        <f t="shared" si="23"/>
        <v>62.918313974291927</v>
      </c>
      <c r="N47" s="227">
        <f t="shared" si="23"/>
        <v>47.343133375940766</v>
      </c>
      <c r="O47" s="227">
        <f t="shared" si="23"/>
        <v>61.030279086796341</v>
      </c>
      <c r="P47" s="245"/>
      <c r="Q47" s="246"/>
      <c r="R47" s="247"/>
      <c r="S47" s="247"/>
    </row>
    <row r="48" spans="1:19" ht="15" customHeight="1" x14ac:dyDescent="0.25">
      <c r="A48" s="219"/>
      <c r="B48" s="325" t="s">
        <v>4</v>
      </c>
      <c r="C48" s="228">
        <f t="shared" ref="C48:O48" si="24">C45/C7*1000</f>
        <v>6.1752167443959731</v>
      </c>
      <c r="D48" s="229">
        <f t="shared" si="24"/>
        <v>10.853387290814432</v>
      </c>
      <c r="E48" s="229">
        <f t="shared" si="24"/>
        <v>11.109167127002072</v>
      </c>
      <c r="F48" s="229">
        <f t="shared" si="24"/>
        <v>11.3010020041428</v>
      </c>
      <c r="G48" s="229">
        <f t="shared" si="24"/>
        <v>8.5876551814391906</v>
      </c>
      <c r="H48" s="229">
        <f t="shared" si="24"/>
        <v>9.4170827386855365</v>
      </c>
      <c r="I48" s="229">
        <f t="shared" si="24"/>
        <v>8.1164658993581433</v>
      </c>
      <c r="J48" s="229">
        <f t="shared" si="24"/>
        <v>4.9001205981009903</v>
      </c>
      <c r="K48" s="229">
        <f t="shared" si="24"/>
        <v>6.1752167443959731</v>
      </c>
      <c r="L48" s="229">
        <f t="shared" si="24"/>
        <v>5.2043212801799212</v>
      </c>
      <c r="M48" s="229">
        <f t="shared" si="24"/>
        <v>6.291831397429192</v>
      </c>
      <c r="N48" s="229">
        <f t="shared" si="24"/>
        <v>4.7343133375940774</v>
      </c>
      <c r="O48" s="229">
        <f t="shared" si="24"/>
        <v>6.1030279086796346</v>
      </c>
      <c r="P48" s="245"/>
      <c r="Q48" s="246"/>
      <c r="R48" s="247"/>
      <c r="S48" s="247"/>
    </row>
    <row r="49" spans="1:20" ht="6.95" customHeight="1" x14ac:dyDescent="0.25">
      <c r="A49" s="255"/>
      <c r="B49" s="329"/>
      <c r="C49" s="255"/>
      <c r="D49" s="255"/>
      <c r="E49" s="256"/>
      <c r="F49" s="256"/>
      <c r="G49" s="256"/>
      <c r="H49" s="256"/>
      <c r="I49" s="256"/>
      <c r="J49" s="256"/>
      <c r="K49" s="256"/>
      <c r="L49" s="256"/>
      <c r="M49" s="256"/>
      <c r="N49" s="256"/>
      <c r="O49" s="256"/>
      <c r="P49" s="245"/>
      <c r="Q49" s="246"/>
      <c r="R49" s="247"/>
      <c r="S49" s="247"/>
    </row>
    <row r="50" spans="1:20" s="197" customFormat="1" ht="18" customHeight="1" x14ac:dyDescent="0.25">
      <c r="A50" s="202" t="s">
        <v>202</v>
      </c>
      <c r="B50" s="317"/>
      <c r="C50" s="203"/>
      <c r="D50" s="203"/>
      <c r="E50" s="203"/>
      <c r="F50" s="203"/>
      <c r="G50" s="203"/>
      <c r="H50" s="203"/>
      <c r="I50" s="203"/>
      <c r="J50" s="203"/>
      <c r="K50" s="203"/>
      <c r="L50" s="203"/>
      <c r="M50" s="203"/>
      <c r="N50" s="203"/>
      <c r="O50" s="204"/>
    </row>
    <row r="51" spans="1:20" ht="15" customHeight="1" x14ac:dyDescent="0.25">
      <c r="A51" s="257" t="s">
        <v>1</v>
      </c>
      <c r="B51" s="322"/>
      <c r="C51" s="230">
        <f>Energie!C10</f>
        <v>32</v>
      </c>
      <c r="D51" s="231">
        <f>Energie!D10</f>
        <v>10</v>
      </c>
      <c r="E51" s="231">
        <f>Energie!E10</f>
        <v>12</v>
      </c>
      <c r="F51" s="231">
        <f>Energie!F10</f>
        <v>14</v>
      </c>
      <c r="G51" s="231">
        <f>Energie!G10</f>
        <v>16</v>
      </c>
      <c r="H51" s="231">
        <f>Energie!H10</f>
        <v>20</v>
      </c>
      <c r="I51" s="231">
        <f>Energie!I10</f>
        <v>24</v>
      </c>
      <c r="J51" s="231">
        <f>Energie!J10</f>
        <v>28</v>
      </c>
      <c r="K51" s="231">
        <f>Energie!K10</f>
        <v>32</v>
      </c>
      <c r="L51" s="231">
        <f>Energie!L10</f>
        <v>40</v>
      </c>
      <c r="M51" s="231">
        <f>Energie!M10</f>
        <v>48</v>
      </c>
      <c r="N51" s="231">
        <f>Energie!N10</f>
        <v>60</v>
      </c>
      <c r="O51" s="231">
        <f>Energie!O10</f>
        <v>80</v>
      </c>
      <c r="P51" s="247"/>
      <c r="Q51" s="247"/>
    </row>
    <row r="52" spans="1:20" ht="15" customHeight="1" x14ac:dyDescent="0.25">
      <c r="A52" s="248" t="s">
        <v>222</v>
      </c>
      <c r="B52" s="319" t="s">
        <v>223</v>
      </c>
      <c r="C52" s="213">
        <v>80</v>
      </c>
      <c r="D52" s="214">
        <v>80</v>
      </c>
      <c r="E52" s="214">
        <v>80</v>
      </c>
      <c r="F52" s="214">
        <v>80</v>
      </c>
      <c r="G52" s="214">
        <v>80</v>
      </c>
      <c r="H52" s="214">
        <v>80</v>
      </c>
      <c r="I52" s="214">
        <v>80</v>
      </c>
      <c r="J52" s="214">
        <v>80</v>
      </c>
      <c r="K52" s="214">
        <v>80</v>
      </c>
      <c r="L52" s="214">
        <v>80</v>
      </c>
      <c r="M52" s="214">
        <v>80</v>
      </c>
      <c r="N52" s="214">
        <v>80</v>
      </c>
      <c r="O52" s="214">
        <v>80</v>
      </c>
      <c r="P52" s="247"/>
      <c r="Q52" s="247"/>
    </row>
    <row r="53" spans="1:20" ht="15" customHeight="1" x14ac:dyDescent="0.25">
      <c r="A53" s="248" t="s">
        <v>38</v>
      </c>
      <c r="B53" s="319" t="s">
        <v>39</v>
      </c>
      <c r="C53" s="252">
        <f t="shared" ref="C53" si="25">C52*C51/1000</f>
        <v>2.56</v>
      </c>
      <c r="D53" s="212">
        <f t="shared" ref="D53:O53" si="26">D52*D51/1000</f>
        <v>0.8</v>
      </c>
      <c r="E53" s="212">
        <f t="shared" si="26"/>
        <v>0.96</v>
      </c>
      <c r="F53" s="212">
        <f t="shared" si="26"/>
        <v>1.1200000000000001</v>
      </c>
      <c r="G53" s="212">
        <f t="shared" si="26"/>
        <v>1.28</v>
      </c>
      <c r="H53" s="212">
        <f t="shared" si="26"/>
        <v>1.6</v>
      </c>
      <c r="I53" s="212">
        <f t="shared" si="26"/>
        <v>1.92</v>
      </c>
      <c r="J53" s="212">
        <f t="shared" si="26"/>
        <v>2.2400000000000002</v>
      </c>
      <c r="K53" s="212">
        <f t="shared" si="26"/>
        <v>2.56</v>
      </c>
      <c r="L53" s="212">
        <f t="shared" si="26"/>
        <v>3.2</v>
      </c>
      <c r="M53" s="212">
        <f t="shared" si="26"/>
        <v>3.84</v>
      </c>
      <c r="N53" s="212">
        <f t="shared" si="26"/>
        <v>4.8</v>
      </c>
      <c r="O53" s="212">
        <f t="shared" si="26"/>
        <v>6.4</v>
      </c>
      <c r="P53" s="247"/>
      <c r="Q53" s="247"/>
    </row>
    <row r="54" spans="1:20" ht="15" customHeight="1" x14ac:dyDescent="0.25">
      <c r="A54" s="253" t="s">
        <v>108</v>
      </c>
      <c r="B54" s="328" t="s">
        <v>6</v>
      </c>
      <c r="C54" s="258">
        <f>Arbeitszeit!C72*2</f>
        <v>9.3964444444444464</v>
      </c>
      <c r="D54" s="244">
        <f>Arbeitszeit!D72*2</f>
        <v>3.382701596883626</v>
      </c>
      <c r="E54" s="244">
        <f>Arbeitszeit!E72*2</f>
        <v>3.7620000000000005</v>
      </c>
      <c r="F54" s="244">
        <f>Arbeitszeit!F72*2</f>
        <v>4.03</v>
      </c>
      <c r="G54" s="244">
        <f>Arbeitszeit!G72*2</f>
        <v>5.285333333333333</v>
      </c>
      <c r="H54" s="244">
        <f>Arbeitszeit!H72*2</f>
        <v>6.8066666666666666</v>
      </c>
      <c r="I54" s="244">
        <f>Arbeitszeit!I72*2</f>
        <v>8.6</v>
      </c>
      <c r="J54" s="244">
        <f>Arbeitszeit!J72*2</f>
        <v>9.6311111111111121</v>
      </c>
      <c r="K54" s="244">
        <f>Arbeitszeit!K72*2</f>
        <v>9.3964444444444464</v>
      </c>
      <c r="L54" s="244">
        <f>Arbeitszeit!L72*2</f>
        <v>10.006666666666666</v>
      </c>
      <c r="M54" s="244">
        <f>Arbeitszeit!M72*2</f>
        <v>9.9093333333333344</v>
      </c>
      <c r="N54" s="244">
        <f>Arbeitszeit!N72*2</f>
        <v>10.21111111111111</v>
      </c>
      <c r="O54" s="244">
        <f>Arbeitszeit!O72*2</f>
        <v>10.422222222222222</v>
      </c>
      <c r="P54" s="247"/>
      <c r="Q54" s="247"/>
    </row>
    <row r="55" spans="1:20" ht="15" customHeight="1" x14ac:dyDescent="0.25">
      <c r="A55" s="205" t="s">
        <v>152</v>
      </c>
      <c r="B55" s="322" t="s">
        <v>16</v>
      </c>
      <c r="C55" s="222">
        <f t="shared" ref="C55" si="27">C54*C53</f>
        <v>24.054897777777782</v>
      </c>
      <c r="D55" s="223">
        <f t="shared" ref="D55:O55" si="28">D54*D53</f>
        <v>2.7061612775069008</v>
      </c>
      <c r="E55" s="223">
        <f t="shared" si="28"/>
        <v>3.6115200000000005</v>
      </c>
      <c r="F55" s="223">
        <f t="shared" si="28"/>
        <v>4.5136000000000003</v>
      </c>
      <c r="G55" s="223">
        <f t="shared" si="28"/>
        <v>6.7652266666666661</v>
      </c>
      <c r="H55" s="223">
        <f t="shared" si="28"/>
        <v>10.890666666666668</v>
      </c>
      <c r="I55" s="223">
        <f t="shared" si="28"/>
        <v>16.512</v>
      </c>
      <c r="J55" s="223">
        <f t="shared" si="28"/>
        <v>21.573688888888892</v>
      </c>
      <c r="K55" s="223">
        <f t="shared" si="28"/>
        <v>24.054897777777782</v>
      </c>
      <c r="L55" s="223">
        <f t="shared" si="28"/>
        <v>32.021333333333331</v>
      </c>
      <c r="M55" s="223">
        <f t="shared" si="28"/>
        <v>38.051840000000006</v>
      </c>
      <c r="N55" s="223">
        <f t="shared" si="28"/>
        <v>49.013333333333328</v>
      </c>
      <c r="O55" s="223">
        <f t="shared" si="28"/>
        <v>66.702222222222233</v>
      </c>
      <c r="P55" s="247"/>
      <c r="Q55" s="247"/>
    </row>
    <row r="56" spans="1:20" ht="15" customHeight="1" x14ac:dyDescent="0.25">
      <c r="A56" s="208"/>
      <c r="B56" s="323" t="s">
        <v>100</v>
      </c>
      <c r="C56" s="259">
        <f>C55/'Melkstand und Herde'!C16</f>
        <v>2.9021033689056293E-2</v>
      </c>
      <c r="D56" s="260">
        <f>D55/'Melkstand und Herde'!D16</f>
        <v>2.6118788224525173E-2</v>
      </c>
      <c r="E56" s="260">
        <f>E55/'Melkstand und Herde'!E16</f>
        <v>2.9877384987893468E-2</v>
      </c>
      <c r="F56" s="260">
        <f>F55/'Melkstand und Herde'!F16</f>
        <v>3.2672598870056496E-2</v>
      </c>
      <c r="G56" s="260">
        <f>G55/'Melkstand und Herde'!G16</f>
        <v>3.2647633396107968E-2</v>
      </c>
      <c r="H56" s="260">
        <f>H55/'Melkstand und Herde'!H16</f>
        <v>3.5037455534630682E-2</v>
      </c>
      <c r="I56" s="260">
        <f>I55/'Melkstand und Herde'!I16</f>
        <v>3.9841807909604524E-2</v>
      </c>
      <c r="J56" s="260">
        <f>J55/'Melkstand und Herde'!J16</f>
        <v>2.6027578991420802E-2</v>
      </c>
      <c r="K56" s="260">
        <f>K55/'Melkstand und Herde'!K16</f>
        <v>2.9021033689056293E-2</v>
      </c>
      <c r="L56" s="260">
        <f>L55/'Melkstand und Herde'!L16</f>
        <v>2.5754760410127642E-2</v>
      </c>
      <c r="M56" s="260">
        <f>M55/'Melkstand und Herde'!M16</f>
        <v>3.0605097300690526E-2</v>
      </c>
      <c r="N56" s="260">
        <f>N55/'Melkstand und Herde'!N16</f>
        <v>2.3652856246076586E-2</v>
      </c>
      <c r="O56" s="260">
        <f>O55/'Melkstand und Herde'!O16</f>
        <v>3.2189160912324759E-2</v>
      </c>
      <c r="P56" s="247"/>
      <c r="Q56" s="247"/>
    </row>
    <row r="57" spans="1:20" ht="15" customHeight="1" x14ac:dyDescent="0.25">
      <c r="A57" s="208"/>
      <c r="B57" s="324" t="s">
        <v>216</v>
      </c>
      <c r="C57" s="226">
        <f t="shared" ref="C57:O57" si="29">C55*365/C4</f>
        <v>18.291745185185189</v>
      </c>
      <c r="D57" s="227">
        <f t="shared" si="29"/>
        <v>16.462481104833646</v>
      </c>
      <c r="E57" s="227">
        <f t="shared" si="29"/>
        <v>18.831497142857145</v>
      </c>
      <c r="F57" s="227">
        <f t="shared" si="29"/>
        <v>20.593300000000003</v>
      </c>
      <c r="G57" s="227">
        <f t="shared" si="29"/>
        <v>20.577564444444441</v>
      </c>
      <c r="H57" s="227">
        <f t="shared" si="29"/>
        <v>22.083851851851854</v>
      </c>
      <c r="I57" s="227">
        <f t="shared" si="29"/>
        <v>25.112000000000002</v>
      </c>
      <c r="J57" s="227">
        <f t="shared" si="29"/>
        <v>16.404992592592595</v>
      </c>
      <c r="K57" s="227">
        <f t="shared" si="29"/>
        <v>18.291745185185189</v>
      </c>
      <c r="L57" s="227">
        <f t="shared" si="29"/>
        <v>16.233037037037036</v>
      </c>
      <c r="M57" s="227">
        <f t="shared" si="29"/>
        <v>19.290168888888893</v>
      </c>
      <c r="N57" s="227">
        <f t="shared" si="29"/>
        <v>14.908222222222221</v>
      </c>
      <c r="O57" s="227">
        <f t="shared" si="29"/>
        <v>20.288592592592593</v>
      </c>
      <c r="P57" s="247"/>
      <c r="Q57" s="247"/>
    </row>
    <row r="58" spans="1:20" ht="15" customHeight="1" x14ac:dyDescent="0.25">
      <c r="A58" s="219"/>
      <c r="B58" s="325" t="s">
        <v>4</v>
      </c>
      <c r="C58" s="243">
        <f t="shared" ref="C58:O58" si="30">C55/C7*1000</f>
        <v>1.8291745185185189</v>
      </c>
      <c r="D58" s="244">
        <f t="shared" si="30"/>
        <v>1.6462481104833648</v>
      </c>
      <c r="E58" s="244">
        <f t="shared" si="30"/>
        <v>1.8831497142857145</v>
      </c>
      <c r="F58" s="244">
        <f t="shared" si="30"/>
        <v>2.0593300000000001</v>
      </c>
      <c r="G58" s="244">
        <f t="shared" si="30"/>
        <v>2.0577564444444443</v>
      </c>
      <c r="H58" s="244">
        <f t="shared" si="30"/>
        <v>2.2083851851851857</v>
      </c>
      <c r="I58" s="244">
        <f t="shared" si="30"/>
        <v>2.5112000000000005</v>
      </c>
      <c r="J58" s="244">
        <f t="shared" si="30"/>
        <v>1.6404992592592595</v>
      </c>
      <c r="K58" s="244">
        <f t="shared" si="30"/>
        <v>1.8291745185185189</v>
      </c>
      <c r="L58" s="244">
        <f t="shared" si="30"/>
        <v>1.6233037037037037</v>
      </c>
      <c r="M58" s="244">
        <f t="shared" si="30"/>
        <v>1.9290168888888892</v>
      </c>
      <c r="N58" s="244">
        <f t="shared" si="30"/>
        <v>1.490822222222222</v>
      </c>
      <c r="O58" s="244">
        <f t="shared" si="30"/>
        <v>2.02885925925926</v>
      </c>
      <c r="P58" s="247"/>
      <c r="Q58" s="247"/>
    </row>
    <row r="59" spans="1:20" ht="6.95" customHeight="1" x14ac:dyDescent="0.25">
      <c r="B59" s="326"/>
    </row>
    <row r="60" spans="1:20" s="197" customFormat="1" ht="18" customHeight="1" x14ac:dyDescent="0.25">
      <c r="A60" s="202" t="s">
        <v>224</v>
      </c>
      <c r="B60" s="317"/>
      <c r="C60" s="203"/>
      <c r="D60" s="203"/>
      <c r="E60" s="203"/>
      <c r="F60" s="203"/>
      <c r="G60" s="203"/>
      <c r="H60" s="203"/>
      <c r="I60" s="203"/>
      <c r="J60" s="203"/>
      <c r="K60" s="203"/>
      <c r="L60" s="203"/>
      <c r="M60" s="203"/>
      <c r="N60" s="203"/>
      <c r="O60" s="204"/>
    </row>
    <row r="61" spans="1:20" ht="15" customHeight="1" x14ac:dyDescent="0.25">
      <c r="A61" s="257" t="s">
        <v>92</v>
      </c>
      <c r="B61" s="330" t="s">
        <v>109</v>
      </c>
      <c r="C61" s="261">
        <f>'Melkstand und Herde'!C16</f>
        <v>828.8780487804878</v>
      </c>
      <c r="D61" s="262">
        <f>'Melkstand und Herde'!D16</f>
        <v>103.60975609756098</v>
      </c>
      <c r="E61" s="262">
        <f>'Melkstand und Herde'!E16</f>
        <v>120.8780487804878</v>
      </c>
      <c r="F61" s="262">
        <f>'Melkstand und Herde'!F16</f>
        <v>138.14634146341464</v>
      </c>
      <c r="G61" s="262">
        <f>'Melkstand und Herde'!G16</f>
        <v>207.21951219512195</v>
      </c>
      <c r="H61" s="262">
        <f>'Melkstand und Herde'!H16</f>
        <v>310.82926829268291</v>
      </c>
      <c r="I61" s="262">
        <f>'Melkstand und Herde'!I16</f>
        <v>414.4390243902439</v>
      </c>
      <c r="J61" s="262">
        <f>'Melkstand und Herde'!J16</f>
        <v>828.8780487804878</v>
      </c>
      <c r="K61" s="262">
        <f>'Melkstand und Herde'!K16</f>
        <v>828.8780487804878</v>
      </c>
      <c r="L61" s="262">
        <f>'Melkstand und Herde'!L16</f>
        <v>1243.3170731707316</v>
      </c>
      <c r="M61" s="262">
        <f>'Melkstand und Herde'!M16</f>
        <v>1243.3170731707316</v>
      </c>
      <c r="N61" s="262">
        <f>'Melkstand und Herde'!N16</f>
        <v>2072.1951219512193</v>
      </c>
      <c r="O61" s="262">
        <f>'Melkstand und Herde'!O16</f>
        <v>2072.1951219512193</v>
      </c>
    </row>
    <row r="62" spans="1:20" ht="15" customHeight="1" x14ac:dyDescent="0.25">
      <c r="A62" s="253" t="s">
        <v>43</v>
      </c>
      <c r="B62" s="321" t="s">
        <v>211</v>
      </c>
      <c r="C62" s="220">
        <v>20</v>
      </c>
      <c r="D62" s="221">
        <v>20</v>
      </c>
      <c r="E62" s="221">
        <v>20</v>
      </c>
      <c r="F62" s="221">
        <v>20</v>
      </c>
      <c r="G62" s="221">
        <v>20</v>
      </c>
      <c r="H62" s="221">
        <v>20</v>
      </c>
      <c r="I62" s="221">
        <v>20</v>
      </c>
      <c r="J62" s="221">
        <v>20</v>
      </c>
      <c r="K62" s="221">
        <v>20</v>
      </c>
      <c r="L62" s="221">
        <v>20</v>
      </c>
      <c r="M62" s="221">
        <v>20</v>
      </c>
      <c r="N62" s="221">
        <v>20</v>
      </c>
      <c r="O62" s="221">
        <v>20</v>
      </c>
      <c r="P62" s="237"/>
      <c r="Q62" s="237"/>
      <c r="R62" s="237"/>
      <c r="S62" s="237"/>
      <c r="T62" s="237"/>
    </row>
    <row r="63" spans="1:20" ht="15" customHeight="1" x14ac:dyDescent="0.25">
      <c r="A63" s="205" t="s">
        <v>152</v>
      </c>
      <c r="B63" s="322" t="s">
        <v>16</v>
      </c>
      <c r="C63" s="222">
        <f t="shared" ref="C63" si="31">C62*C61/1000</f>
        <v>16.577560975609753</v>
      </c>
      <c r="D63" s="223">
        <f t="shared" ref="D63:O63" si="32">D62*D61/1000</f>
        <v>2.0721951219512191</v>
      </c>
      <c r="E63" s="223">
        <f t="shared" si="32"/>
        <v>2.417560975609756</v>
      </c>
      <c r="F63" s="223">
        <f t="shared" si="32"/>
        <v>2.7629268292682929</v>
      </c>
      <c r="G63" s="223">
        <f t="shared" si="32"/>
        <v>4.1443902439024383</v>
      </c>
      <c r="H63" s="223">
        <f t="shared" si="32"/>
        <v>6.2165853658536578</v>
      </c>
      <c r="I63" s="223">
        <f t="shared" si="32"/>
        <v>8.2887804878048765</v>
      </c>
      <c r="J63" s="223">
        <f t="shared" si="32"/>
        <v>16.577560975609753</v>
      </c>
      <c r="K63" s="223">
        <f t="shared" si="32"/>
        <v>16.577560975609753</v>
      </c>
      <c r="L63" s="223">
        <f t="shared" si="32"/>
        <v>24.866341463414631</v>
      </c>
      <c r="M63" s="223">
        <f t="shared" si="32"/>
        <v>24.866341463414631</v>
      </c>
      <c r="N63" s="223">
        <f t="shared" si="32"/>
        <v>41.443902439024384</v>
      </c>
      <c r="O63" s="223">
        <f t="shared" si="32"/>
        <v>41.443902439024384</v>
      </c>
    </row>
    <row r="64" spans="1:20" ht="15" customHeight="1" x14ac:dyDescent="0.25">
      <c r="A64" s="208"/>
      <c r="B64" s="323" t="s">
        <v>100</v>
      </c>
      <c r="C64" s="259">
        <f>C63/'Melkstand und Herde'!C16</f>
        <v>1.9999999999999997E-2</v>
      </c>
      <c r="D64" s="260">
        <f>D63/'Melkstand und Herde'!D16</f>
        <v>1.9999999999999997E-2</v>
      </c>
      <c r="E64" s="260">
        <f>E63/'Melkstand und Herde'!E16</f>
        <v>0.02</v>
      </c>
      <c r="F64" s="260">
        <f>F63/'Melkstand und Herde'!F16</f>
        <v>0.02</v>
      </c>
      <c r="G64" s="260">
        <f>G63/'Melkstand und Herde'!G16</f>
        <v>1.9999999999999997E-2</v>
      </c>
      <c r="H64" s="260">
        <f>H63/'Melkstand und Herde'!H16</f>
        <v>0.02</v>
      </c>
      <c r="I64" s="260">
        <f>I63/'Melkstand und Herde'!I16</f>
        <v>1.9999999999999997E-2</v>
      </c>
      <c r="J64" s="260">
        <f>J63/'Melkstand und Herde'!J16</f>
        <v>1.9999999999999997E-2</v>
      </c>
      <c r="K64" s="260">
        <f>K63/'Melkstand und Herde'!K16</f>
        <v>1.9999999999999997E-2</v>
      </c>
      <c r="L64" s="260">
        <f>L63/'Melkstand und Herde'!L16</f>
        <v>0.02</v>
      </c>
      <c r="M64" s="260">
        <f>M63/'Melkstand und Herde'!M16</f>
        <v>0.02</v>
      </c>
      <c r="N64" s="260">
        <f>N63/'Melkstand und Herde'!N16</f>
        <v>0.02</v>
      </c>
      <c r="O64" s="260">
        <f>O63/'Melkstand und Herde'!O16</f>
        <v>0.02</v>
      </c>
    </row>
    <row r="65" spans="1:19" ht="15" customHeight="1" x14ac:dyDescent="0.25">
      <c r="A65" s="208"/>
      <c r="B65" s="324" t="s">
        <v>216</v>
      </c>
      <c r="C65" s="226">
        <f t="shared" ref="C65:O65" si="33">C63*365/C4</f>
        <v>12.605853658536583</v>
      </c>
      <c r="D65" s="227">
        <f t="shared" si="33"/>
        <v>12.605853658536583</v>
      </c>
      <c r="E65" s="227">
        <f t="shared" si="33"/>
        <v>12.605853658536585</v>
      </c>
      <c r="F65" s="227">
        <f t="shared" si="33"/>
        <v>12.605853658536585</v>
      </c>
      <c r="G65" s="227">
        <f t="shared" si="33"/>
        <v>12.605853658536583</v>
      </c>
      <c r="H65" s="227">
        <f t="shared" si="33"/>
        <v>12.605853658536585</v>
      </c>
      <c r="I65" s="227">
        <f t="shared" si="33"/>
        <v>12.605853658536583</v>
      </c>
      <c r="J65" s="227">
        <f t="shared" si="33"/>
        <v>12.605853658536583</v>
      </c>
      <c r="K65" s="227">
        <f t="shared" si="33"/>
        <v>12.605853658536583</v>
      </c>
      <c r="L65" s="227">
        <f t="shared" si="33"/>
        <v>12.605853658536585</v>
      </c>
      <c r="M65" s="227">
        <f t="shared" si="33"/>
        <v>12.605853658536585</v>
      </c>
      <c r="N65" s="227">
        <f t="shared" si="33"/>
        <v>12.605853658536583</v>
      </c>
      <c r="O65" s="227">
        <f t="shared" si="33"/>
        <v>12.605853658536583</v>
      </c>
    </row>
    <row r="66" spans="1:19" ht="15" customHeight="1" x14ac:dyDescent="0.25">
      <c r="A66" s="219"/>
      <c r="B66" s="325" t="s">
        <v>4</v>
      </c>
      <c r="C66" s="243">
        <f t="shared" ref="C66:O66" si="34">C63/C7*1000</f>
        <v>1.2605853658536583</v>
      </c>
      <c r="D66" s="244">
        <f t="shared" si="34"/>
        <v>1.2605853658536583</v>
      </c>
      <c r="E66" s="244">
        <f t="shared" si="34"/>
        <v>1.2605853658536583</v>
      </c>
      <c r="F66" s="244">
        <f t="shared" si="34"/>
        <v>1.2605853658536585</v>
      </c>
      <c r="G66" s="244">
        <f t="shared" si="34"/>
        <v>1.2605853658536583</v>
      </c>
      <c r="H66" s="244">
        <f t="shared" si="34"/>
        <v>1.2605853658536583</v>
      </c>
      <c r="I66" s="244">
        <f t="shared" si="34"/>
        <v>1.2605853658536583</v>
      </c>
      <c r="J66" s="244">
        <f t="shared" si="34"/>
        <v>1.2605853658536583</v>
      </c>
      <c r="K66" s="244">
        <f t="shared" si="34"/>
        <v>1.2605853658536583</v>
      </c>
      <c r="L66" s="244">
        <f t="shared" si="34"/>
        <v>1.2605853658536583</v>
      </c>
      <c r="M66" s="244">
        <f t="shared" si="34"/>
        <v>1.2605853658536583</v>
      </c>
      <c r="N66" s="244">
        <f t="shared" si="34"/>
        <v>1.2605853658536583</v>
      </c>
      <c r="O66" s="244">
        <f t="shared" si="34"/>
        <v>1.2605853658536583</v>
      </c>
    </row>
    <row r="67" spans="1:19" ht="6.95" customHeight="1" x14ac:dyDescent="0.25">
      <c r="B67" s="326"/>
    </row>
    <row r="68" spans="1:19" s="197" customFormat="1" ht="18" customHeight="1" x14ac:dyDescent="0.25">
      <c r="A68" s="202" t="s">
        <v>201</v>
      </c>
      <c r="B68" s="317"/>
      <c r="C68" s="203"/>
      <c r="D68" s="203"/>
      <c r="E68" s="203"/>
      <c r="F68" s="203"/>
      <c r="G68" s="203"/>
      <c r="H68" s="203"/>
      <c r="I68" s="203"/>
      <c r="J68" s="203"/>
      <c r="K68" s="203"/>
      <c r="L68" s="203"/>
      <c r="M68" s="203"/>
      <c r="N68" s="203"/>
      <c r="O68" s="204"/>
    </row>
    <row r="69" spans="1:19" ht="15" customHeight="1" x14ac:dyDescent="0.25">
      <c r="A69" s="248" t="s">
        <v>7</v>
      </c>
      <c r="B69" s="327" t="s">
        <v>95</v>
      </c>
      <c r="C69" s="263">
        <f>Wasser!C25</f>
        <v>414.4390243902439</v>
      </c>
      <c r="D69" s="250">
        <f>Wasser!D25</f>
        <v>51.804878048780488</v>
      </c>
      <c r="E69" s="250">
        <f>Wasser!E25</f>
        <v>60.439024390243901</v>
      </c>
      <c r="F69" s="250">
        <f>Wasser!F25</f>
        <v>69.073170731707322</v>
      </c>
      <c r="G69" s="250">
        <f>Wasser!G25</f>
        <v>103.60975609756098</v>
      </c>
      <c r="H69" s="250">
        <f>Wasser!H25</f>
        <v>155.41463414634146</v>
      </c>
      <c r="I69" s="250">
        <f>Wasser!I25</f>
        <v>207.21951219512195</v>
      </c>
      <c r="J69" s="250">
        <f>Wasser!J25</f>
        <v>414.4390243902439</v>
      </c>
      <c r="K69" s="250">
        <f>Wasser!K25</f>
        <v>414.4390243902439</v>
      </c>
      <c r="L69" s="250">
        <f>Wasser!L25</f>
        <v>621.65853658536582</v>
      </c>
      <c r="M69" s="250">
        <f>Wasser!M25</f>
        <v>621.65853658536582</v>
      </c>
      <c r="N69" s="250">
        <f>Wasser!N25</f>
        <v>1036.0975609756097</v>
      </c>
      <c r="O69" s="250">
        <f>Wasser!O25</f>
        <v>1036.0975609756097</v>
      </c>
      <c r="P69" s="245"/>
      <c r="Q69" s="246"/>
      <c r="R69" s="247"/>
      <c r="S69" s="247"/>
    </row>
    <row r="70" spans="1:19" ht="15" customHeight="1" x14ac:dyDescent="0.25">
      <c r="A70" s="248" t="s">
        <v>102</v>
      </c>
      <c r="B70" s="327" t="s">
        <v>103</v>
      </c>
      <c r="C70" s="251">
        <v>10</v>
      </c>
      <c r="D70" s="250">
        <v>10</v>
      </c>
      <c r="E70" s="250">
        <v>10</v>
      </c>
      <c r="F70" s="250">
        <v>10</v>
      </c>
      <c r="G70" s="250">
        <v>10</v>
      </c>
      <c r="H70" s="250">
        <v>10</v>
      </c>
      <c r="I70" s="250">
        <v>10</v>
      </c>
      <c r="J70" s="250">
        <v>10</v>
      </c>
      <c r="K70" s="250">
        <v>10</v>
      </c>
      <c r="L70" s="250">
        <v>10</v>
      </c>
      <c r="M70" s="250">
        <v>10</v>
      </c>
      <c r="N70" s="250">
        <v>10</v>
      </c>
      <c r="O70" s="250">
        <v>10</v>
      </c>
      <c r="P70" s="245"/>
      <c r="Q70" s="246"/>
      <c r="R70" s="247"/>
      <c r="S70" s="247"/>
    </row>
    <row r="71" spans="1:19" ht="15" customHeight="1" x14ac:dyDescent="0.25">
      <c r="A71" s="253" t="s">
        <v>114</v>
      </c>
      <c r="B71" s="331" t="s">
        <v>103</v>
      </c>
      <c r="C71" s="264">
        <v>37</v>
      </c>
      <c r="D71" s="265">
        <v>37</v>
      </c>
      <c r="E71" s="265">
        <v>37</v>
      </c>
      <c r="F71" s="265">
        <v>37</v>
      </c>
      <c r="G71" s="265">
        <v>37</v>
      </c>
      <c r="H71" s="265">
        <v>37</v>
      </c>
      <c r="I71" s="265">
        <v>37</v>
      </c>
      <c r="J71" s="265">
        <v>37</v>
      </c>
      <c r="K71" s="265">
        <v>37</v>
      </c>
      <c r="L71" s="265">
        <v>37</v>
      </c>
      <c r="M71" s="265">
        <v>37</v>
      </c>
      <c r="N71" s="265">
        <v>37</v>
      </c>
      <c r="O71" s="265">
        <v>37</v>
      </c>
      <c r="P71" s="245"/>
      <c r="Q71" s="246"/>
      <c r="R71" s="247"/>
      <c r="S71" s="247"/>
    </row>
    <row r="72" spans="1:19" ht="15" customHeight="1" x14ac:dyDescent="0.25">
      <c r="A72" s="205" t="s">
        <v>152</v>
      </c>
      <c r="B72" s="322" t="s">
        <v>16</v>
      </c>
      <c r="C72" s="266">
        <f>(C71-C70)*C69*$C$157</f>
        <v>13.013799804878049</v>
      </c>
      <c r="D72" s="267">
        <f t="shared" ref="D72:O72" si="35">(D71-D70)*D69*$C$157</f>
        <v>1.6267249756097562</v>
      </c>
      <c r="E72" s="267">
        <f t="shared" si="35"/>
        <v>1.8978458048780487</v>
      </c>
      <c r="F72" s="267">
        <f t="shared" si="35"/>
        <v>2.1689666341463414</v>
      </c>
      <c r="G72" s="267">
        <f t="shared" si="35"/>
        <v>3.2534499512195123</v>
      </c>
      <c r="H72" s="267">
        <f t="shared" si="35"/>
        <v>4.8801749268292678</v>
      </c>
      <c r="I72" s="267">
        <f t="shared" si="35"/>
        <v>6.5068999024390246</v>
      </c>
      <c r="J72" s="267">
        <f t="shared" si="35"/>
        <v>13.013799804878049</v>
      </c>
      <c r="K72" s="267">
        <f t="shared" si="35"/>
        <v>13.013799804878049</v>
      </c>
      <c r="L72" s="267">
        <f t="shared" si="35"/>
        <v>19.520699707317071</v>
      </c>
      <c r="M72" s="267">
        <f t="shared" si="35"/>
        <v>19.520699707317071</v>
      </c>
      <c r="N72" s="267">
        <f t="shared" si="35"/>
        <v>32.534499512195119</v>
      </c>
      <c r="O72" s="267">
        <f t="shared" si="35"/>
        <v>32.534499512195119</v>
      </c>
      <c r="P72" s="245"/>
      <c r="Q72" s="246"/>
      <c r="R72" s="247"/>
      <c r="S72" s="247"/>
    </row>
    <row r="73" spans="1:19" ht="15" customHeight="1" x14ac:dyDescent="0.25">
      <c r="A73" s="208"/>
      <c r="B73" s="323" t="s">
        <v>100</v>
      </c>
      <c r="C73" s="224">
        <f>C72/'Melkstand und Herde'!C$16</f>
        <v>1.5700499999999999E-2</v>
      </c>
      <c r="D73" s="225">
        <f>D72/'Melkstand und Herde'!D$16</f>
        <v>1.5700499999999999E-2</v>
      </c>
      <c r="E73" s="225">
        <f>E72/'Melkstand und Herde'!E$16</f>
        <v>1.5700499999999999E-2</v>
      </c>
      <c r="F73" s="225">
        <f>F72/'Melkstand und Herde'!F$16</f>
        <v>1.5700499999999999E-2</v>
      </c>
      <c r="G73" s="225">
        <f>G72/'Melkstand und Herde'!G$16</f>
        <v>1.5700499999999999E-2</v>
      </c>
      <c r="H73" s="225">
        <f>H72/'Melkstand und Herde'!H$16</f>
        <v>1.5700499999999999E-2</v>
      </c>
      <c r="I73" s="225">
        <f>I72/'Melkstand und Herde'!I$16</f>
        <v>1.5700499999999999E-2</v>
      </c>
      <c r="J73" s="225">
        <f>J72/'Melkstand und Herde'!J$16</f>
        <v>1.5700499999999999E-2</v>
      </c>
      <c r="K73" s="225">
        <f>K72/'Melkstand und Herde'!K$16</f>
        <v>1.5700499999999999E-2</v>
      </c>
      <c r="L73" s="225">
        <f>L72/'Melkstand und Herde'!L$16</f>
        <v>1.5700499999999999E-2</v>
      </c>
      <c r="M73" s="225">
        <f>M72/'Melkstand und Herde'!M$16</f>
        <v>1.5700499999999999E-2</v>
      </c>
      <c r="N73" s="225">
        <f>N72/'Melkstand und Herde'!N$16</f>
        <v>1.5700499999999999E-2</v>
      </c>
      <c r="O73" s="225">
        <f>O72/'Melkstand und Herde'!O$16</f>
        <v>1.5700499999999999E-2</v>
      </c>
      <c r="P73" s="245"/>
      <c r="Q73" s="246"/>
      <c r="R73" s="247"/>
      <c r="S73" s="247"/>
    </row>
    <row r="74" spans="1:19" ht="15" customHeight="1" x14ac:dyDescent="0.25">
      <c r="A74" s="208"/>
      <c r="B74" s="324" t="s">
        <v>216</v>
      </c>
      <c r="C74" s="226">
        <f t="shared" ref="C74:O74" si="36">C72*365/C4</f>
        <v>9.8959102682926829</v>
      </c>
      <c r="D74" s="227">
        <f t="shared" si="36"/>
        <v>9.8959102682926829</v>
      </c>
      <c r="E74" s="227">
        <f t="shared" si="36"/>
        <v>9.8959102682926812</v>
      </c>
      <c r="F74" s="227">
        <f t="shared" si="36"/>
        <v>9.8959102682926829</v>
      </c>
      <c r="G74" s="227">
        <f t="shared" si="36"/>
        <v>9.8959102682926829</v>
      </c>
      <c r="H74" s="227">
        <f t="shared" si="36"/>
        <v>9.8959102682926812</v>
      </c>
      <c r="I74" s="227">
        <f t="shared" si="36"/>
        <v>9.8959102682926829</v>
      </c>
      <c r="J74" s="227">
        <f t="shared" si="36"/>
        <v>9.8959102682926829</v>
      </c>
      <c r="K74" s="227">
        <f t="shared" si="36"/>
        <v>9.8959102682926829</v>
      </c>
      <c r="L74" s="227">
        <f t="shared" si="36"/>
        <v>9.8959102682926812</v>
      </c>
      <c r="M74" s="227">
        <f t="shared" si="36"/>
        <v>9.8959102682926812</v>
      </c>
      <c r="N74" s="227">
        <f t="shared" si="36"/>
        <v>9.8959102682926829</v>
      </c>
      <c r="O74" s="227">
        <f t="shared" si="36"/>
        <v>9.8959102682926829</v>
      </c>
      <c r="P74" s="245"/>
      <c r="Q74" s="246"/>
      <c r="R74" s="247"/>
      <c r="S74" s="247"/>
    </row>
    <row r="75" spans="1:19" ht="15" customHeight="1" x14ac:dyDescent="0.25">
      <c r="A75" s="219"/>
      <c r="B75" s="325" t="s">
        <v>4</v>
      </c>
      <c r="C75" s="228">
        <f t="shared" ref="C75:O75" si="37">C72/C7*1000</f>
        <v>0.98959102682926836</v>
      </c>
      <c r="D75" s="229">
        <f t="shared" si="37"/>
        <v>0.98959102682926836</v>
      </c>
      <c r="E75" s="229">
        <f t="shared" si="37"/>
        <v>0.98959102682926814</v>
      </c>
      <c r="F75" s="229">
        <f t="shared" si="37"/>
        <v>0.98959102682926836</v>
      </c>
      <c r="G75" s="229">
        <f t="shared" si="37"/>
        <v>0.98959102682926836</v>
      </c>
      <c r="H75" s="229">
        <f t="shared" si="37"/>
        <v>0.98959102682926814</v>
      </c>
      <c r="I75" s="229">
        <f t="shared" si="37"/>
        <v>0.98959102682926836</v>
      </c>
      <c r="J75" s="229">
        <f t="shared" si="37"/>
        <v>0.98959102682926836</v>
      </c>
      <c r="K75" s="229">
        <f t="shared" si="37"/>
        <v>0.98959102682926836</v>
      </c>
      <c r="L75" s="229">
        <f t="shared" si="37"/>
        <v>0.98959102682926814</v>
      </c>
      <c r="M75" s="229">
        <f t="shared" si="37"/>
        <v>0.98959102682926814</v>
      </c>
      <c r="N75" s="229">
        <f t="shared" si="37"/>
        <v>0.98959102682926836</v>
      </c>
      <c r="O75" s="229">
        <f t="shared" si="37"/>
        <v>0.98959102682926836</v>
      </c>
      <c r="P75" s="245"/>
      <c r="Q75" s="246"/>
      <c r="R75" s="247"/>
      <c r="S75" s="247"/>
    </row>
    <row r="76" spans="1:19" ht="6.95" customHeight="1" x14ac:dyDescent="0.25">
      <c r="B76" s="326"/>
    </row>
    <row r="77" spans="1:19" s="197" customFormat="1" ht="18" customHeight="1" x14ac:dyDescent="0.25">
      <c r="A77" s="202" t="s">
        <v>203</v>
      </c>
      <c r="B77" s="317"/>
      <c r="C77" s="203"/>
      <c r="D77" s="203"/>
      <c r="E77" s="203"/>
      <c r="F77" s="203"/>
      <c r="G77" s="203"/>
      <c r="H77" s="203"/>
      <c r="I77" s="203"/>
      <c r="J77" s="203"/>
      <c r="K77" s="203"/>
      <c r="L77" s="203"/>
      <c r="M77" s="203"/>
      <c r="N77" s="203"/>
      <c r="O77" s="204"/>
    </row>
    <row r="78" spans="1:19" ht="15" customHeight="1" x14ac:dyDescent="0.25">
      <c r="A78" s="268" t="s">
        <v>144</v>
      </c>
      <c r="B78" s="332" t="str">
        <f t="shared" ref="B78:O78" si="38">B17</f>
        <v>kWh/d</v>
      </c>
      <c r="C78" s="269">
        <f t="shared" si="38"/>
        <v>38.430222222222227</v>
      </c>
      <c r="D78" s="270">
        <f t="shared" si="38"/>
        <v>8.3654031937672517</v>
      </c>
      <c r="E78" s="270">
        <f t="shared" si="38"/>
        <v>8.8573333333333331</v>
      </c>
      <c r="F78" s="270">
        <f t="shared" si="38"/>
        <v>12.549166666666668</v>
      </c>
      <c r="G78" s="270">
        <f t="shared" si="38"/>
        <v>15.634666666666666</v>
      </c>
      <c r="H78" s="270">
        <f t="shared" si="38"/>
        <v>19.085000000000001</v>
      </c>
      <c r="I78" s="270">
        <f t="shared" si="38"/>
        <v>31.750000000000004</v>
      </c>
      <c r="J78" s="270">
        <f t="shared" si="38"/>
        <v>37.575000000000003</v>
      </c>
      <c r="K78" s="270">
        <f t="shared" si="38"/>
        <v>38.430222222222227</v>
      </c>
      <c r="L78" s="270">
        <f t="shared" si="38"/>
        <v>49.352499999999992</v>
      </c>
      <c r="M78" s="270">
        <f t="shared" si="38"/>
        <v>52.636499999999998</v>
      </c>
      <c r="N78" s="270">
        <f t="shared" si="38"/>
        <v>69.405555555555566</v>
      </c>
      <c r="O78" s="270">
        <f t="shared" si="38"/>
        <v>94.000000000000014</v>
      </c>
      <c r="P78" s="271"/>
    </row>
    <row r="79" spans="1:19" ht="15" customHeight="1" x14ac:dyDescent="0.25">
      <c r="A79" s="272" t="s">
        <v>145</v>
      </c>
      <c r="B79" s="333" t="str">
        <f t="shared" ref="B79:O79" si="39">B33</f>
        <v>kWh/d</v>
      </c>
      <c r="C79" s="273">
        <f t="shared" si="39"/>
        <v>4.2265766347893514</v>
      </c>
      <c r="D79" s="274">
        <f t="shared" si="39"/>
        <v>0.86912100456621011</v>
      </c>
      <c r="E79" s="274">
        <f t="shared" si="39"/>
        <v>1.4013904483868553</v>
      </c>
      <c r="F79" s="274">
        <f t="shared" si="39"/>
        <v>1.4837319410135492</v>
      </c>
      <c r="G79" s="274">
        <f t="shared" si="39"/>
        <v>1.8130979115203236</v>
      </c>
      <c r="H79" s="274">
        <f t="shared" si="39"/>
        <v>2.3071468672804856</v>
      </c>
      <c r="I79" s="274">
        <f t="shared" si="39"/>
        <v>2.6757883173946757</v>
      </c>
      <c r="J79" s="274">
        <f t="shared" si="39"/>
        <v>4.2265766347893514</v>
      </c>
      <c r="K79" s="274">
        <f t="shared" si="39"/>
        <v>4.2265766347893514</v>
      </c>
      <c r="L79" s="274">
        <f t="shared" si="39"/>
        <v>10.334437457893555</v>
      </c>
      <c r="M79" s="274">
        <f t="shared" si="39"/>
        <v>10.334437457893555</v>
      </c>
      <c r="N79" s="274">
        <f t="shared" si="39"/>
        <v>15.724062429822592</v>
      </c>
      <c r="O79" s="274">
        <f t="shared" si="39"/>
        <v>15.724062429822592</v>
      </c>
      <c r="P79" s="271"/>
    </row>
    <row r="80" spans="1:19" ht="15" customHeight="1" x14ac:dyDescent="0.25">
      <c r="A80" s="272" t="s">
        <v>146</v>
      </c>
      <c r="B80" s="333" t="str">
        <f t="shared" ref="B80:O80" si="40">B45</f>
        <v>kWh/d</v>
      </c>
      <c r="C80" s="273">
        <f t="shared" si="40"/>
        <v>81.208329789316892</v>
      </c>
      <c r="D80" s="274">
        <f t="shared" si="40"/>
        <v>17.841184587640161</v>
      </c>
      <c r="E80" s="274">
        <f t="shared" si="40"/>
        <v>21.305252024387535</v>
      </c>
      <c r="F80" s="274">
        <f t="shared" si="40"/>
        <v>24.769319461134902</v>
      </c>
      <c r="G80" s="274">
        <f t="shared" si="40"/>
        <v>28.233386897882269</v>
      </c>
      <c r="H80" s="274">
        <f t="shared" si="40"/>
        <v>46.440408026394422</v>
      </c>
      <c r="I80" s="274">
        <f t="shared" si="40"/>
        <v>53.368542899889157</v>
      </c>
      <c r="J80" s="274">
        <f t="shared" si="40"/>
        <v>64.439942112013028</v>
      </c>
      <c r="K80" s="274">
        <f t="shared" si="40"/>
        <v>81.208329789316892</v>
      </c>
      <c r="L80" s="274">
        <f t="shared" si="40"/>
        <v>102.66058415697378</v>
      </c>
      <c r="M80" s="274">
        <f t="shared" si="40"/>
        <v>124.11283852463065</v>
      </c>
      <c r="N80" s="274">
        <f t="shared" si="40"/>
        <v>155.64865767432582</v>
      </c>
      <c r="O80" s="274">
        <f t="shared" si="40"/>
        <v>200.64749288809756</v>
      </c>
      <c r="P80" s="271"/>
    </row>
    <row r="81" spans="1:16" ht="15" customHeight="1" x14ac:dyDescent="0.25">
      <c r="A81" s="275" t="s">
        <v>147</v>
      </c>
      <c r="B81" s="333" t="str">
        <f t="shared" ref="B81:O81" si="41">B55</f>
        <v>kWh/d</v>
      </c>
      <c r="C81" s="273">
        <f t="shared" si="41"/>
        <v>24.054897777777782</v>
      </c>
      <c r="D81" s="274">
        <f t="shared" si="41"/>
        <v>2.7061612775069008</v>
      </c>
      <c r="E81" s="274">
        <f t="shared" si="41"/>
        <v>3.6115200000000005</v>
      </c>
      <c r="F81" s="274">
        <f t="shared" si="41"/>
        <v>4.5136000000000003</v>
      </c>
      <c r="G81" s="274">
        <f t="shared" si="41"/>
        <v>6.7652266666666661</v>
      </c>
      <c r="H81" s="274">
        <f t="shared" si="41"/>
        <v>10.890666666666668</v>
      </c>
      <c r="I81" s="274">
        <f t="shared" si="41"/>
        <v>16.512</v>
      </c>
      <c r="J81" s="274">
        <f t="shared" si="41"/>
        <v>21.573688888888892</v>
      </c>
      <c r="K81" s="274">
        <f t="shared" si="41"/>
        <v>24.054897777777782</v>
      </c>
      <c r="L81" s="274">
        <f t="shared" si="41"/>
        <v>32.021333333333331</v>
      </c>
      <c r="M81" s="274">
        <f t="shared" si="41"/>
        <v>38.051840000000006</v>
      </c>
      <c r="N81" s="274">
        <f t="shared" si="41"/>
        <v>49.013333333333328</v>
      </c>
      <c r="O81" s="274">
        <f t="shared" si="41"/>
        <v>66.702222222222233</v>
      </c>
      <c r="P81" s="271"/>
    </row>
    <row r="82" spans="1:16" ht="15" customHeight="1" x14ac:dyDescent="0.25">
      <c r="A82" s="272" t="s">
        <v>148</v>
      </c>
      <c r="B82" s="333" t="str">
        <f t="shared" ref="B82:O82" si="42">B63</f>
        <v>kWh/d</v>
      </c>
      <c r="C82" s="273">
        <f t="shared" si="42"/>
        <v>16.577560975609753</v>
      </c>
      <c r="D82" s="274">
        <f t="shared" si="42"/>
        <v>2.0721951219512191</v>
      </c>
      <c r="E82" s="274">
        <f t="shared" si="42"/>
        <v>2.417560975609756</v>
      </c>
      <c r="F82" s="274">
        <f t="shared" si="42"/>
        <v>2.7629268292682929</v>
      </c>
      <c r="G82" s="274">
        <f t="shared" si="42"/>
        <v>4.1443902439024383</v>
      </c>
      <c r="H82" s="274">
        <f t="shared" si="42"/>
        <v>6.2165853658536578</v>
      </c>
      <c r="I82" s="274">
        <f t="shared" si="42"/>
        <v>8.2887804878048765</v>
      </c>
      <c r="J82" s="274">
        <f t="shared" si="42"/>
        <v>16.577560975609753</v>
      </c>
      <c r="K82" s="274">
        <f t="shared" si="42"/>
        <v>16.577560975609753</v>
      </c>
      <c r="L82" s="274">
        <f t="shared" si="42"/>
        <v>24.866341463414631</v>
      </c>
      <c r="M82" s="274">
        <f t="shared" si="42"/>
        <v>24.866341463414631</v>
      </c>
      <c r="N82" s="274">
        <f t="shared" si="42"/>
        <v>41.443902439024384</v>
      </c>
      <c r="O82" s="274">
        <f t="shared" si="42"/>
        <v>41.443902439024384</v>
      </c>
      <c r="P82" s="271"/>
    </row>
    <row r="83" spans="1:16" ht="15" customHeight="1" x14ac:dyDescent="0.25">
      <c r="A83" s="276" t="s">
        <v>149</v>
      </c>
      <c r="B83" s="334" t="str">
        <f t="shared" ref="B83:O83" si="43">B72</f>
        <v>kWh/d</v>
      </c>
      <c r="C83" s="277">
        <f t="shared" ref="C83" si="44">C72</f>
        <v>13.013799804878049</v>
      </c>
      <c r="D83" s="278">
        <f t="shared" si="43"/>
        <v>1.6267249756097562</v>
      </c>
      <c r="E83" s="278">
        <f t="shared" si="43"/>
        <v>1.8978458048780487</v>
      </c>
      <c r="F83" s="278">
        <f t="shared" si="43"/>
        <v>2.1689666341463414</v>
      </c>
      <c r="G83" s="278">
        <f t="shared" si="43"/>
        <v>3.2534499512195123</v>
      </c>
      <c r="H83" s="278">
        <f t="shared" si="43"/>
        <v>4.8801749268292678</v>
      </c>
      <c r="I83" s="278">
        <f t="shared" si="43"/>
        <v>6.5068999024390246</v>
      </c>
      <c r="J83" s="278">
        <f t="shared" si="43"/>
        <v>13.013799804878049</v>
      </c>
      <c r="K83" s="278">
        <f t="shared" si="43"/>
        <v>13.013799804878049</v>
      </c>
      <c r="L83" s="278">
        <f t="shared" si="43"/>
        <v>19.520699707317071</v>
      </c>
      <c r="M83" s="278">
        <f t="shared" si="43"/>
        <v>19.520699707317071</v>
      </c>
      <c r="N83" s="278">
        <f t="shared" si="43"/>
        <v>32.534499512195119</v>
      </c>
      <c r="O83" s="278">
        <f t="shared" si="43"/>
        <v>32.534499512195119</v>
      </c>
      <c r="P83" s="271"/>
    </row>
    <row r="84" spans="1:16" s="197" customFormat="1" ht="18" customHeight="1" x14ac:dyDescent="0.25">
      <c r="A84" s="279" t="s">
        <v>152</v>
      </c>
      <c r="B84" s="322" t="s">
        <v>16</v>
      </c>
      <c r="C84" s="280">
        <f t="shared" ref="C84:O84" si="45">C17+C33+C45+C55+C63+C72</f>
        <v>177.51138720459406</v>
      </c>
      <c r="D84" s="281">
        <f t="shared" si="45"/>
        <v>33.480790161041497</v>
      </c>
      <c r="E84" s="281">
        <f t="shared" si="45"/>
        <v>39.490902586595524</v>
      </c>
      <c r="F84" s="281">
        <f t="shared" si="45"/>
        <v>48.247711532229758</v>
      </c>
      <c r="G84" s="281">
        <f t="shared" si="45"/>
        <v>59.844218337857875</v>
      </c>
      <c r="H84" s="281">
        <f t="shared" si="45"/>
        <v>89.819981853024515</v>
      </c>
      <c r="I84" s="281">
        <f t="shared" si="45"/>
        <v>119.10201160752773</v>
      </c>
      <c r="J84" s="281">
        <f t="shared" si="45"/>
        <v>157.40656841617908</v>
      </c>
      <c r="K84" s="281">
        <f t="shared" si="45"/>
        <v>177.51138720459406</v>
      </c>
      <c r="L84" s="281">
        <f t="shared" si="45"/>
        <v>238.75589611893238</v>
      </c>
      <c r="M84" s="281">
        <f t="shared" si="45"/>
        <v>269.52265715325592</v>
      </c>
      <c r="N84" s="281">
        <f t="shared" si="45"/>
        <v>363.7700109442568</v>
      </c>
      <c r="O84" s="281">
        <f t="shared" si="45"/>
        <v>451.05217949136193</v>
      </c>
      <c r="P84" s="282"/>
    </row>
    <row r="85" spans="1:16" s="197" customFormat="1" ht="18" customHeight="1" x14ac:dyDescent="0.25">
      <c r="A85" s="283"/>
      <c r="B85" s="323" t="s">
        <v>100</v>
      </c>
      <c r="C85" s="284">
        <f t="shared" ref="C85:O85" si="46">C18+C34+C46+C56+C64+C73</f>
        <v>0.21415862980780237</v>
      </c>
      <c r="D85" s="285">
        <f t="shared" si="46"/>
        <v>0.32314321953924235</v>
      </c>
      <c r="E85" s="285">
        <f t="shared" si="46"/>
        <v>0.3267003644169526</v>
      </c>
      <c r="F85" s="285">
        <f t="shared" si="46"/>
        <v>0.34925073672694562</v>
      </c>
      <c r="G85" s="285">
        <f t="shared" si="46"/>
        <v>0.28879625139502979</v>
      </c>
      <c r="H85" s="285">
        <f t="shared" si="46"/>
        <v>0.28896886817121825</v>
      </c>
      <c r="I85" s="285">
        <f t="shared" si="46"/>
        <v>0.28738126623756105</v>
      </c>
      <c r="J85" s="285">
        <f t="shared" si="46"/>
        <v>0.18990316928741002</v>
      </c>
      <c r="K85" s="285">
        <f t="shared" si="46"/>
        <v>0.21415862980780237</v>
      </c>
      <c r="L85" s="285">
        <f t="shared" si="46"/>
        <v>0.1920313822362725</v>
      </c>
      <c r="M85" s="285">
        <f t="shared" si="46"/>
        <v>0.21677709006755125</v>
      </c>
      <c r="N85" s="285">
        <f t="shared" si="46"/>
        <v>0.17554814558279813</v>
      </c>
      <c r="O85" s="285">
        <f t="shared" si="46"/>
        <v>0.21766877776772411</v>
      </c>
      <c r="P85" s="282"/>
    </row>
    <row r="86" spans="1:16" s="197" customFormat="1" ht="18" customHeight="1" x14ac:dyDescent="0.25">
      <c r="A86" s="283"/>
      <c r="B86" s="324" t="s">
        <v>216</v>
      </c>
      <c r="C86" s="286">
        <f t="shared" ref="C86:O86" si="47">C19+C35+C47+C57+C65+C74</f>
        <v>134.98261735349342</v>
      </c>
      <c r="D86" s="287">
        <f t="shared" si="47"/>
        <v>203.67480681300242</v>
      </c>
      <c r="E86" s="287">
        <f t="shared" si="47"/>
        <v>205.91684920153381</v>
      </c>
      <c r="F86" s="287">
        <f t="shared" si="47"/>
        <v>220.13018386579824</v>
      </c>
      <c r="G86" s="287">
        <f t="shared" si="47"/>
        <v>182.02616411098435</v>
      </c>
      <c r="H86" s="287">
        <f t="shared" si="47"/>
        <v>182.13496320196631</v>
      </c>
      <c r="I86" s="287">
        <f t="shared" si="47"/>
        <v>181.13430931978175</v>
      </c>
      <c r="J86" s="287">
        <f t="shared" si="47"/>
        <v>119.6945780664695</v>
      </c>
      <c r="K86" s="287">
        <f t="shared" si="47"/>
        <v>134.98261735349342</v>
      </c>
      <c r="L86" s="287">
        <f t="shared" si="47"/>
        <v>121.03597511584766</v>
      </c>
      <c r="M86" s="287">
        <f t="shared" si="47"/>
        <v>136.63301369574782</v>
      </c>
      <c r="N86" s="287">
        <f t="shared" si="47"/>
        <v>110.64671166221144</v>
      </c>
      <c r="O86" s="287">
        <f t="shared" si="47"/>
        <v>137.19503792862258</v>
      </c>
      <c r="P86" s="282"/>
    </row>
    <row r="87" spans="1:16" s="197" customFormat="1" ht="18" customHeight="1" x14ac:dyDescent="0.25">
      <c r="A87" s="288"/>
      <c r="B87" s="325" t="s">
        <v>4</v>
      </c>
      <c r="C87" s="289">
        <f t="shared" ref="C87:O87" si="48">C20+C36+C48+C58+C66+C75</f>
        <v>13.49826173534934</v>
      </c>
      <c r="D87" s="290">
        <f t="shared" si="48"/>
        <v>20.367480681300247</v>
      </c>
      <c r="E87" s="290">
        <f t="shared" si="48"/>
        <v>20.59168492015338</v>
      </c>
      <c r="F87" s="290">
        <f t="shared" si="48"/>
        <v>22.013018386579823</v>
      </c>
      <c r="G87" s="290">
        <f t="shared" si="48"/>
        <v>18.202616411098436</v>
      </c>
      <c r="H87" s="290">
        <f t="shared" si="48"/>
        <v>18.213496320196633</v>
      </c>
      <c r="I87" s="290">
        <f t="shared" si="48"/>
        <v>18.113430931978176</v>
      </c>
      <c r="J87" s="290">
        <f t="shared" si="48"/>
        <v>11.969457806646952</v>
      </c>
      <c r="K87" s="290">
        <f t="shared" si="48"/>
        <v>13.49826173534934</v>
      </c>
      <c r="L87" s="290">
        <f t="shared" si="48"/>
        <v>12.103597511584764</v>
      </c>
      <c r="M87" s="290">
        <f t="shared" si="48"/>
        <v>13.663301369574777</v>
      </c>
      <c r="N87" s="290">
        <f t="shared" si="48"/>
        <v>11.064671166221148</v>
      </c>
      <c r="O87" s="290">
        <f t="shared" si="48"/>
        <v>13.719503792862261</v>
      </c>
      <c r="P87" s="282"/>
    </row>
    <row r="88" spans="1:16" ht="6.95" customHeight="1" x14ac:dyDescent="0.25">
      <c r="B88" s="326"/>
      <c r="P88" s="271"/>
    </row>
    <row r="89" spans="1:16" ht="15" customHeight="1" x14ac:dyDescent="0.25">
      <c r="A89" s="291" t="s">
        <v>153</v>
      </c>
      <c r="B89" s="335" t="s">
        <v>10</v>
      </c>
      <c r="C89" s="292">
        <f>(C80+C83)/C84*100</f>
        <v>53.079484689958214</v>
      </c>
      <c r="D89" s="293">
        <f>(D80+D83)/D84*100</f>
        <v>58.146505711513718</v>
      </c>
      <c r="E89" s="293">
        <f t="shared" ref="E89:O89" si="49">(E80+E83)/E84*100</f>
        <v>58.755552062619756</v>
      </c>
      <c r="F89" s="293">
        <f t="shared" si="49"/>
        <v>55.833292895739326</v>
      </c>
      <c r="G89" s="293">
        <f t="shared" si="49"/>
        <v>52.614668089303095</v>
      </c>
      <c r="H89" s="293">
        <f t="shared" si="49"/>
        <v>57.137155780326587</v>
      </c>
      <c r="I89" s="293">
        <f t="shared" si="49"/>
        <v>50.272402618717663</v>
      </c>
      <c r="J89" s="293">
        <f t="shared" si="49"/>
        <v>49.206168901481476</v>
      </c>
      <c r="K89" s="293">
        <f t="shared" si="49"/>
        <v>53.079484689958214</v>
      </c>
      <c r="L89" s="293">
        <f t="shared" si="49"/>
        <v>51.174143068461952</v>
      </c>
      <c r="M89" s="293">
        <f t="shared" si="49"/>
        <v>53.29182331052592</v>
      </c>
      <c r="N89" s="293">
        <f t="shared" si="49"/>
        <v>51.731355396241732</v>
      </c>
      <c r="O89" s="293">
        <f t="shared" si="49"/>
        <v>51.697343013228547</v>
      </c>
      <c r="P89" s="271"/>
    </row>
    <row r="90" spans="1:16" ht="15" customHeight="1" x14ac:dyDescent="0.25">
      <c r="C90" s="271"/>
      <c r="D90" s="271"/>
      <c r="E90" s="271"/>
      <c r="F90" s="271"/>
      <c r="G90" s="271"/>
      <c r="H90" s="271"/>
      <c r="I90" s="271"/>
      <c r="J90" s="271"/>
      <c r="K90" s="271"/>
      <c r="L90" s="271"/>
      <c r="M90" s="271"/>
      <c r="N90" s="271"/>
      <c r="O90" s="271"/>
      <c r="P90" s="271"/>
    </row>
    <row r="157" spans="1:9" ht="15" customHeight="1" x14ac:dyDescent="0.25">
      <c r="A157" s="294" t="s">
        <v>101</v>
      </c>
      <c r="B157" s="295" t="s">
        <v>217</v>
      </c>
      <c r="C157" s="296">
        <v>1.163E-3</v>
      </c>
    </row>
    <row r="158" spans="1:9" ht="15" customHeight="1" x14ac:dyDescent="0.25">
      <c r="A158" s="296"/>
      <c r="B158" s="297"/>
      <c r="C158" s="298"/>
    </row>
    <row r="159" spans="1:9" ht="15" customHeight="1" x14ac:dyDescent="0.25">
      <c r="A159" s="294" t="s">
        <v>86</v>
      </c>
      <c r="B159" s="295"/>
      <c r="C159" s="296"/>
      <c r="D159" s="296"/>
      <c r="E159" s="296"/>
      <c r="F159" s="296"/>
      <c r="G159" s="296"/>
      <c r="H159" s="296"/>
      <c r="I159" s="296"/>
    </row>
    <row r="160" spans="1:9" ht="15" customHeight="1" x14ac:dyDescent="0.25">
      <c r="A160" s="296" t="s">
        <v>84</v>
      </c>
      <c r="B160" s="297" t="s">
        <v>85</v>
      </c>
      <c r="C160" s="298" t="s">
        <v>121</v>
      </c>
      <c r="D160" s="298"/>
      <c r="E160" s="296"/>
      <c r="F160" s="296"/>
      <c r="G160" s="296"/>
      <c r="H160" s="296"/>
      <c r="I160" s="296"/>
    </row>
    <row r="161" spans="1:9" ht="15" customHeight="1" x14ac:dyDescent="0.25">
      <c r="A161" s="299">
        <v>200</v>
      </c>
      <c r="B161" s="300">
        <v>0.75</v>
      </c>
      <c r="C161" s="301">
        <v>1.1000000000000001</v>
      </c>
      <c r="D161" s="301"/>
      <c r="E161" s="296"/>
      <c r="F161" s="296"/>
      <c r="G161" s="296"/>
      <c r="H161" s="296"/>
      <c r="I161" s="296"/>
    </row>
    <row r="162" spans="1:9" ht="15" customHeight="1" x14ac:dyDescent="0.25">
      <c r="A162" s="299">
        <v>400</v>
      </c>
      <c r="B162" s="302">
        <v>1.1000000000000001</v>
      </c>
      <c r="C162" s="301">
        <v>2.2000000000000002</v>
      </c>
      <c r="D162" s="301"/>
      <c r="E162" s="296"/>
      <c r="F162" s="296"/>
      <c r="G162" s="296"/>
      <c r="H162" s="296"/>
      <c r="I162" s="296"/>
    </row>
    <row r="163" spans="1:9" ht="15" customHeight="1" x14ac:dyDescent="0.25">
      <c r="A163" s="299">
        <v>800</v>
      </c>
      <c r="B163" s="302">
        <v>2.2000000000000002</v>
      </c>
      <c r="C163" s="303">
        <v>3</v>
      </c>
      <c r="D163" s="303"/>
      <c r="E163" s="296"/>
      <c r="F163" s="296"/>
      <c r="G163" s="296"/>
      <c r="H163" s="296"/>
      <c r="I163" s="296"/>
    </row>
    <row r="164" spans="1:9" ht="15" customHeight="1" x14ac:dyDescent="0.25">
      <c r="A164" s="299">
        <v>1200</v>
      </c>
      <c r="B164" s="304">
        <v>3</v>
      </c>
      <c r="C164" s="301">
        <v>4</v>
      </c>
      <c r="D164" s="301"/>
      <c r="E164" s="296"/>
      <c r="F164" s="296"/>
      <c r="G164" s="296"/>
      <c r="H164" s="296"/>
      <c r="I164" s="296"/>
    </row>
    <row r="165" spans="1:9" ht="15" customHeight="1" x14ac:dyDescent="0.25">
      <c r="A165" s="299">
        <v>1500</v>
      </c>
      <c r="B165" s="302">
        <v>4</v>
      </c>
      <c r="C165" s="301">
        <v>5.5</v>
      </c>
      <c r="D165" s="301"/>
      <c r="E165" s="296"/>
      <c r="F165" s="296"/>
      <c r="G165" s="296"/>
      <c r="H165" s="296"/>
      <c r="I165" s="296"/>
    </row>
    <row r="166" spans="1:9" ht="15" customHeight="1" x14ac:dyDescent="0.25">
      <c r="A166" s="299">
        <v>2100</v>
      </c>
      <c r="B166" s="302">
        <v>5.5</v>
      </c>
      <c r="C166" s="301">
        <v>7.5</v>
      </c>
      <c r="D166" s="301"/>
      <c r="E166" s="296"/>
      <c r="F166" s="296"/>
      <c r="G166" s="296"/>
      <c r="H166" s="296"/>
      <c r="I166" s="296"/>
    </row>
    <row r="167" spans="1:9" ht="15" customHeight="1" x14ac:dyDescent="0.25">
      <c r="A167" s="299">
        <v>2800</v>
      </c>
      <c r="B167" s="302">
        <v>7.5</v>
      </c>
      <c r="C167" s="298">
        <v>8</v>
      </c>
      <c r="D167" s="298"/>
      <c r="E167" s="296"/>
      <c r="F167" s="296"/>
      <c r="G167" s="296"/>
      <c r="H167" s="296"/>
      <c r="I167" s="296"/>
    </row>
    <row r="168" spans="1:9" ht="15" customHeight="1" x14ac:dyDescent="0.25">
      <c r="A168" s="299">
        <v>3000</v>
      </c>
      <c r="B168" s="305">
        <v>8</v>
      </c>
      <c r="C168" s="298">
        <v>9.5</v>
      </c>
      <c r="D168" s="298"/>
      <c r="E168" s="296"/>
      <c r="F168" s="296"/>
      <c r="G168" s="296"/>
      <c r="H168" s="296"/>
      <c r="I168" s="296"/>
    </row>
    <row r="169" spans="1:9" ht="15" customHeight="1" x14ac:dyDescent="0.25">
      <c r="A169" s="299">
        <v>3600</v>
      </c>
      <c r="B169" s="305">
        <v>9.5</v>
      </c>
      <c r="C169" s="301">
        <v>10.5</v>
      </c>
      <c r="D169" s="301"/>
      <c r="E169" s="296"/>
      <c r="F169" s="296"/>
      <c r="G169" s="296"/>
      <c r="H169" s="296"/>
      <c r="I169" s="296"/>
    </row>
    <row r="170" spans="1:9" ht="15" customHeight="1" x14ac:dyDescent="0.25">
      <c r="A170" s="299">
        <v>4000</v>
      </c>
      <c r="B170" s="302">
        <v>10.5</v>
      </c>
      <c r="C170" s="301">
        <v>11</v>
      </c>
      <c r="D170" s="301"/>
      <c r="E170" s="296"/>
      <c r="F170" s="296"/>
      <c r="G170" s="296"/>
      <c r="H170" s="296"/>
      <c r="I170" s="296"/>
    </row>
    <row r="171" spans="1:9" ht="15" customHeight="1" x14ac:dyDescent="0.25">
      <c r="A171" s="299">
        <v>4200</v>
      </c>
      <c r="B171" s="302">
        <v>11</v>
      </c>
      <c r="C171" s="301">
        <v>11.5</v>
      </c>
      <c r="D171" s="301"/>
      <c r="E171" s="296"/>
      <c r="F171" s="296"/>
      <c r="G171" s="296"/>
      <c r="H171" s="296"/>
      <c r="I171" s="296"/>
    </row>
    <row r="172" spans="1:9" ht="15" customHeight="1" x14ac:dyDescent="0.25">
      <c r="A172" s="299">
        <v>4300</v>
      </c>
      <c r="B172" s="302">
        <v>11.5</v>
      </c>
      <c r="C172" s="301">
        <v>13</v>
      </c>
      <c r="D172" s="301"/>
      <c r="E172" s="296"/>
      <c r="F172" s="296"/>
      <c r="G172" s="296"/>
      <c r="H172" s="296"/>
      <c r="I172" s="296"/>
    </row>
    <row r="173" spans="1:9" ht="15" customHeight="1" x14ac:dyDescent="0.25">
      <c r="A173" s="299">
        <v>4900</v>
      </c>
      <c r="B173" s="302">
        <v>13</v>
      </c>
      <c r="C173" s="301">
        <v>15</v>
      </c>
      <c r="D173" s="301"/>
      <c r="E173" s="296"/>
      <c r="F173" s="296"/>
      <c r="G173" s="296"/>
      <c r="H173" s="296"/>
      <c r="I173" s="296"/>
    </row>
    <row r="174" spans="1:9" ht="15" customHeight="1" x14ac:dyDescent="0.25">
      <c r="A174" s="299">
        <v>5600</v>
      </c>
      <c r="B174" s="302">
        <v>15</v>
      </c>
      <c r="C174" s="301">
        <v>18</v>
      </c>
      <c r="D174" s="301"/>
      <c r="E174" s="296"/>
      <c r="F174" s="296"/>
      <c r="G174" s="296"/>
      <c r="H174" s="296"/>
      <c r="I174" s="296"/>
    </row>
    <row r="175" spans="1:9" ht="15" customHeight="1" x14ac:dyDescent="0.25">
      <c r="A175" s="299" t="s">
        <v>115</v>
      </c>
      <c r="B175" s="302">
        <v>2.2000000000000002</v>
      </c>
      <c r="C175" s="301">
        <v>2.2000000000000002</v>
      </c>
      <c r="D175" s="301"/>
      <c r="E175" s="296"/>
      <c r="F175" s="296"/>
      <c r="G175" s="296"/>
      <c r="H175" s="296"/>
      <c r="I175" s="296"/>
    </row>
    <row r="176" spans="1:9" ht="15" customHeight="1" x14ac:dyDescent="0.25">
      <c r="A176" s="296"/>
      <c r="B176" s="305"/>
      <c r="C176" s="296"/>
      <c r="D176" s="296"/>
      <c r="E176" s="296"/>
      <c r="F176" s="296"/>
      <c r="G176" s="296"/>
      <c r="H176" s="296"/>
      <c r="I176" s="296"/>
    </row>
    <row r="177" spans="1:8" ht="15" customHeight="1" x14ac:dyDescent="0.25">
      <c r="A177" s="306" t="s">
        <v>88</v>
      </c>
      <c r="B177" s="307" t="s">
        <v>122</v>
      </c>
      <c r="C177" s="306" t="s">
        <v>123</v>
      </c>
      <c r="D177" s="306" t="s">
        <v>89</v>
      </c>
      <c r="E177" s="306" t="s">
        <v>90</v>
      </c>
      <c r="F177" s="306" t="s">
        <v>91</v>
      </c>
      <c r="G177" s="306" t="s">
        <v>93</v>
      </c>
      <c r="H177" s="306" t="s">
        <v>124</v>
      </c>
    </row>
    <row r="178" spans="1:8" ht="15" customHeight="1" x14ac:dyDescent="0.25">
      <c r="A178" s="296">
        <v>3</v>
      </c>
      <c r="B178" s="297">
        <f>A178*360</f>
        <v>1080</v>
      </c>
      <c r="C178" s="308">
        <v>1.4</v>
      </c>
      <c r="D178" s="296">
        <v>1500</v>
      </c>
      <c r="E178" s="296">
        <v>0.6</v>
      </c>
      <c r="F178" s="296">
        <v>0.1</v>
      </c>
      <c r="G178" s="296">
        <v>0.55000000000000004</v>
      </c>
      <c r="H178" s="296">
        <v>3300</v>
      </c>
    </row>
    <row r="179" spans="1:8" ht="15" customHeight="1" x14ac:dyDescent="0.25">
      <c r="A179" s="296">
        <v>4</v>
      </c>
      <c r="B179" s="297">
        <f>A179*360</f>
        <v>1440</v>
      </c>
      <c r="C179" s="308">
        <v>2.2999999999999998</v>
      </c>
      <c r="D179" s="296">
        <v>1500</v>
      </c>
      <c r="E179" s="296">
        <v>0.6</v>
      </c>
      <c r="F179" s="296">
        <v>0.1</v>
      </c>
      <c r="G179" s="296">
        <v>0.55000000000000004</v>
      </c>
      <c r="H179" s="296">
        <v>3300</v>
      </c>
    </row>
    <row r="180" spans="1:8" ht="15" customHeight="1" x14ac:dyDescent="0.25">
      <c r="A180" s="296">
        <v>5</v>
      </c>
      <c r="B180" s="297">
        <f>A180*360</f>
        <v>1800</v>
      </c>
      <c r="C180" s="308">
        <v>3.4</v>
      </c>
      <c r="D180" s="296">
        <v>2000</v>
      </c>
      <c r="E180" s="296">
        <v>0.7</v>
      </c>
      <c r="F180" s="296">
        <v>0.2</v>
      </c>
      <c r="G180" s="296">
        <v>0.55000000000000004</v>
      </c>
      <c r="H180" s="296">
        <v>3300</v>
      </c>
    </row>
    <row r="181" spans="1:8" ht="15" customHeight="1" x14ac:dyDescent="0.25">
      <c r="A181" s="296"/>
      <c r="B181" s="297"/>
      <c r="C181" s="308"/>
      <c r="D181" s="296"/>
      <c r="E181" s="296"/>
      <c r="F181" s="296"/>
      <c r="G181" s="296">
        <v>0.55000000000000004</v>
      </c>
      <c r="H181" s="296">
        <v>3300</v>
      </c>
    </row>
    <row r="182" spans="1:8" ht="15" customHeight="1" x14ac:dyDescent="0.25">
      <c r="A182" s="296">
        <v>6</v>
      </c>
      <c r="B182" s="297">
        <f t="shared" ref="B182:B218" si="50">A182*360</f>
        <v>2160</v>
      </c>
      <c r="C182" s="308">
        <v>4.7</v>
      </c>
      <c r="D182" s="296">
        <v>2000</v>
      </c>
      <c r="E182" s="296">
        <v>0.7</v>
      </c>
      <c r="F182" s="296">
        <v>0.2</v>
      </c>
      <c r="G182" s="296">
        <v>0.55000000000000004</v>
      </c>
      <c r="H182" s="296">
        <v>3300</v>
      </c>
    </row>
    <row r="183" spans="1:8" ht="15" customHeight="1" x14ac:dyDescent="0.25">
      <c r="A183" s="296">
        <v>7</v>
      </c>
      <c r="B183" s="297">
        <f t="shared" si="50"/>
        <v>2520</v>
      </c>
      <c r="C183" s="308">
        <v>6.2</v>
      </c>
      <c r="D183" s="296">
        <v>3000</v>
      </c>
      <c r="E183" s="296">
        <v>0.9</v>
      </c>
      <c r="F183" s="296">
        <v>0.3</v>
      </c>
      <c r="G183" s="296">
        <v>0.55000000000000004</v>
      </c>
      <c r="H183" s="296">
        <v>3300</v>
      </c>
    </row>
    <row r="184" spans="1:8" ht="15" customHeight="1" x14ac:dyDescent="0.25">
      <c r="A184" s="296">
        <v>8</v>
      </c>
      <c r="B184" s="297">
        <f t="shared" si="50"/>
        <v>2880</v>
      </c>
      <c r="C184" s="308">
        <v>7.9</v>
      </c>
      <c r="D184" s="296">
        <v>3000</v>
      </c>
      <c r="E184" s="296">
        <v>0.9</v>
      </c>
      <c r="F184" s="296">
        <v>0.3</v>
      </c>
      <c r="G184" s="296">
        <v>0.55000000000000004</v>
      </c>
      <c r="H184" s="296">
        <v>3300</v>
      </c>
    </row>
    <row r="185" spans="1:8" ht="15" customHeight="1" x14ac:dyDescent="0.25">
      <c r="A185" s="296">
        <v>9</v>
      </c>
      <c r="B185" s="297">
        <f t="shared" si="50"/>
        <v>3240</v>
      </c>
      <c r="C185" s="308">
        <v>9.8000000000000007</v>
      </c>
      <c r="D185" s="296">
        <v>3000</v>
      </c>
      <c r="E185" s="296">
        <v>0.9</v>
      </c>
      <c r="F185" s="296">
        <v>0.3</v>
      </c>
      <c r="G185" s="296">
        <v>0.55000000000000004</v>
      </c>
      <c r="H185" s="296">
        <v>3300</v>
      </c>
    </row>
    <row r="186" spans="1:8" ht="15" customHeight="1" x14ac:dyDescent="0.25">
      <c r="A186" s="296">
        <v>10</v>
      </c>
      <c r="B186" s="297">
        <f t="shared" si="50"/>
        <v>3600</v>
      </c>
      <c r="C186" s="308">
        <v>12</v>
      </c>
      <c r="D186" s="296">
        <v>4000</v>
      </c>
      <c r="E186" s="296">
        <v>1.2</v>
      </c>
      <c r="F186" s="296">
        <v>0.5</v>
      </c>
      <c r="G186" s="296">
        <v>0.55000000000000004</v>
      </c>
      <c r="H186" s="296">
        <v>3300</v>
      </c>
    </row>
    <row r="187" spans="1:8" ht="15" customHeight="1" x14ac:dyDescent="0.25">
      <c r="A187" s="296">
        <v>11</v>
      </c>
      <c r="B187" s="297">
        <f t="shared" si="50"/>
        <v>3960</v>
      </c>
      <c r="C187" s="308">
        <v>14.4</v>
      </c>
      <c r="D187" s="296">
        <v>4000</v>
      </c>
      <c r="E187" s="296">
        <v>1.2</v>
      </c>
      <c r="F187" s="296">
        <v>0.5</v>
      </c>
      <c r="G187" s="296">
        <v>1.1000000000000001</v>
      </c>
      <c r="H187" s="296">
        <v>6100</v>
      </c>
    </row>
    <row r="188" spans="1:8" ht="15" customHeight="1" x14ac:dyDescent="0.25">
      <c r="A188" s="296">
        <v>12</v>
      </c>
      <c r="B188" s="297">
        <f t="shared" si="50"/>
        <v>4320</v>
      </c>
      <c r="C188" s="308">
        <v>16.899999999999999</v>
      </c>
      <c r="D188" s="296">
        <v>4000</v>
      </c>
      <c r="E188" s="296">
        <v>1.2</v>
      </c>
      <c r="F188" s="296">
        <v>0.5</v>
      </c>
      <c r="G188" s="296">
        <v>1.1000000000000001</v>
      </c>
      <c r="H188" s="296">
        <v>6100</v>
      </c>
    </row>
    <row r="189" spans="1:8" ht="15" customHeight="1" x14ac:dyDescent="0.25">
      <c r="A189" s="296">
        <v>13</v>
      </c>
      <c r="B189" s="297">
        <f t="shared" si="50"/>
        <v>4680</v>
      </c>
      <c r="C189" s="308">
        <v>19.7</v>
      </c>
      <c r="D189" s="296">
        <v>5000</v>
      </c>
      <c r="E189" s="296">
        <v>1.5</v>
      </c>
      <c r="F189" s="296">
        <v>0.65</v>
      </c>
      <c r="G189" s="296">
        <v>1.1000000000000001</v>
      </c>
      <c r="H189" s="296">
        <v>6100</v>
      </c>
    </row>
    <row r="190" spans="1:8" ht="15" customHeight="1" x14ac:dyDescent="0.25">
      <c r="A190" s="296">
        <v>14</v>
      </c>
      <c r="B190" s="297">
        <f t="shared" si="50"/>
        <v>5040</v>
      </c>
      <c r="C190" s="308">
        <v>22.7</v>
      </c>
      <c r="D190" s="296">
        <v>5000</v>
      </c>
      <c r="E190" s="296">
        <v>1.5</v>
      </c>
      <c r="F190" s="296">
        <v>0.65</v>
      </c>
      <c r="G190" s="296">
        <v>1.1000000000000001</v>
      </c>
      <c r="H190" s="296">
        <v>6100</v>
      </c>
    </row>
    <row r="191" spans="1:8" ht="15" customHeight="1" x14ac:dyDescent="0.25">
      <c r="A191" s="296">
        <v>15</v>
      </c>
      <c r="B191" s="297">
        <f t="shared" si="50"/>
        <v>5400</v>
      </c>
      <c r="C191" s="308">
        <v>4.9000000000000004</v>
      </c>
      <c r="D191" s="296">
        <v>5000</v>
      </c>
      <c r="E191" s="296">
        <v>1.5</v>
      </c>
      <c r="F191" s="296">
        <v>0.65</v>
      </c>
      <c r="G191" s="296">
        <v>1.1000000000000001</v>
      </c>
      <c r="H191" s="296">
        <v>6100</v>
      </c>
    </row>
    <row r="192" spans="1:8" ht="15" customHeight="1" x14ac:dyDescent="0.25">
      <c r="A192" s="296">
        <v>16</v>
      </c>
      <c r="B192" s="297">
        <f t="shared" si="50"/>
        <v>5760</v>
      </c>
      <c r="C192" s="308">
        <v>5.4</v>
      </c>
      <c r="D192" s="296">
        <v>6000</v>
      </c>
      <c r="E192" s="296">
        <v>1.9</v>
      </c>
      <c r="F192" s="296">
        <v>0.8</v>
      </c>
      <c r="G192" s="296">
        <v>1.1000000000000001</v>
      </c>
      <c r="H192" s="296">
        <v>6100</v>
      </c>
    </row>
    <row r="193" spans="1:8" ht="15" customHeight="1" x14ac:dyDescent="0.25">
      <c r="A193" s="296">
        <v>17</v>
      </c>
      <c r="B193" s="297">
        <f t="shared" si="50"/>
        <v>6120</v>
      </c>
      <c r="C193" s="308">
        <v>6.1</v>
      </c>
      <c r="D193" s="296">
        <v>6000</v>
      </c>
      <c r="E193" s="296">
        <v>1.9</v>
      </c>
      <c r="F193" s="296">
        <v>0.8</v>
      </c>
      <c r="G193" s="296">
        <v>1.1000000000000001</v>
      </c>
      <c r="H193" s="296">
        <v>6100</v>
      </c>
    </row>
    <row r="194" spans="1:8" ht="15" customHeight="1" x14ac:dyDescent="0.25">
      <c r="A194" s="296">
        <v>18</v>
      </c>
      <c r="B194" s="297">
        <f t="shared" si="50"/>
        <v>6480</v>
      </c>
      <c r="C194" s="308">
        <v>6.7</v>
      </c>
      <c r="D194" s="296">
        <v>6000</v>
      </c>
      <c r="E194" s="296">
        <v>1.9</v>
      </c>
      <c r="F194" s="296">
        <v>0.8</v>
      </c>
      <c r="G194" s="296">
        <v>1.1000000000000001</v>
      </c>
      <c r="H194" s="296">
        <v>6100</v>
      </c>
    </row>
    <row r="195" spans="1:8" ht="15" customHeight="1" x14ac:dyDescent="0.25">
      <c r="A195" s="296">
        <v>19</v>
      </c>
      <c r="B195" s="297">
        <f t="shared" si="50"/>
        <v>6840</v>
      </c>
      <c r="C195" s="308">
        <v>7.3</v>
      </c>
      <c r="D195" s="296">
        <v>6000</v>
      </c>
      <c r="E195" s="296">
        <v>1.9</v>
      </c>
      <c r="F195" s="296">
        <v>0.9</v>
      </c>
      <c r="G195" s="296">
        <v>1.1000000000000001</v>
      </c>
      <c r="H195" s="296">
        <v>6100</v>
      </c>
    </row>
    <row r="196" spans="1:8" ht="15" customHeight="1" x14ac:dyDescent="0.25">
      <c r="A196" s="296">
        <v>20</v>
      </c>
      <c r="B196" s="297">
        <f t="shared" si="50"/>
        <v>7200</v>
      </c>
      <c r="C196" s="308">
        <v>8</v>
      </c>
      <c r="D196" s="296">
        <v>8000</v>
      </c>
      <c r="E196" s="296">
        <v>2.8</v>
      </c>
      <c r="F196" s="296">
        <v>0.9</v>
      </c>
      <c r="G196" s="296">
        <v>1.1000000000000001</v>
      </c>
      <c r="H196" s="296">
        <v>6100</v>
      </c>
    </row>
    <row r="197" spans="1:8" ht="15" customHeight="1" x14ac:dyDescent="0.25">
      <c r="A197" s="296">
        <v>21</v>
      </c>
      <c r="B197" s="297">
        <f t="shared" si="50"/>
        <v>7560</v>
      </c>
      <c r="C197" s="308">
        <v>8.8000000000000007</v>
      </c>
      <c r="D197" s="296">
        <v>8000</v>
      </c>
      <c r="E197" s="296">
        <v>2.8</v>
      </c>
      <c r="F197" s="296">
        <v>1</v>
      </c>
      <c r="G197" s="296">
        <v>1.5</v>
      </c>
      <c r="H197" s="296">
        <v>10600</v>
      </c>
    </row>
    <row r="198" spans="1:8" ht="15" customHeight="1" x14ac:dyDescent="0.25">
      <c r="A198" s="296">
        <v>22</v>
      </c>
      <c r="B198" s="297">
        <f t="shared" si="50"/>
        <v>7920</v>
      </c>
      <c r="C198" s="308">
        <v>9.5</v>
      </c>
      <c r="D198" s="296">
        <v>8000</v>
      </c>
      <c r="E198" s="296">
        <v>2.8</v>
      </c>
      <c r="F198" s="296">
        <v>1</v>
      </c>
      <c r="G198" s="296">
        <v>1.5</v>
      </c>
      <c r="H198" s="296">
        <v>10600</v>
      </c>
    </row>
    <row r="199" spans="1:8" ht="15" customHeight="1" x14ac:dyDescent="0.25">
      <c r="A199" s="296">
        <v>23</v>
      </c>
      <c r="B199" s="297">
        <f t="shared" si="50"/>
        <v>8280</v>
      </c>
      <c r="C199" s="308">
        <v>10.3</v>
      </c>
      <c r="D199" s="296">
        <v>8000</v>
      </c>
      <c r="E199" s="296">
        <v>2.8</v>
      </c>
      <c r="F199" s="296">
        <v>1</v>
      </c>
      <c r="G199" s="296">
        <v>1.5</v>
      </c>
      <c r="H199" s="296">
        <v>10600</v>
      </c>
    </row>
    <row r="200" spans="1:8" ht="15" customHeight="1" x14ac:dyDescent="0.25">
      <c r="A200" s="296">
        <v>24</v>
      </c>
      <c r="B200" s="297">
        <f t="shared" si="50"/>
        <v>8640</v>
      </c>
      <c r="C200" s="308">
        <v>11.1</v>
      </c>
      <c r="D200" s="296">
        <v>8000</v>
      </c>
      <c r="E200" s="296">
        <v>2.8</v>
      </c>
      <c r="F200" s="296">
        <v>1.1000000000000001</v>
      </c>
      <c r="G200" s="296">
        <v>1.5</v>
      </c>
      <c r="H200" s="296">
        <v>10600</v>
      </c>
    </row>
    <row r="201" spans="1:8" ht="15" customHeight="1" x14ac:dyDescent="0.25">
      <c r="A201" s="296">
        <v>26</v>
      </c>
      <c r="B201" s="297">
        <f t="shared" si="50"/>
        <v>9360</v>
      </c>
      <c r="C201" s="308">
        <v>4.2</v>
      </c>
      <c r="D201" s="296">
        <v>10000</v>
      </c>
      <c r="E201" s="296">
        <v>2.8</v>
      </c>
      <c r="F201" s="296">
        <v>1.1000000000000001</v>
      </c>
      <c r="G201" s="296">
        <v>1.5</v>
      </c>
      <c r="H201" s="296">
        <v>10600</v>
      </c>
    </row>
    <row r="202" spans="1:8" ht="15" customHeight="1" x14ac:dyDescent="0.25">
      <c r="A202" s="296">
        <v>28</v>
      </c>
      <c r="B202" s="297">
        <f t="shared" si="50"/>
        <v>10080</v>
      </c>
      <c r="C202" s="308">
        <v>4.8</v>
      </c>
      <c r="D202" s="296">
        <v>10000</v>
      </c>
      <c r="E202" s="296">
        <v>2.8</v>
      </c>
      <c r="F202" s="296">
        <v>1.2</v>
      </c>
      <c r="G202" s="296">
        <v>1.5</v>
      </c>
      <c r="H202" s="296">
        <v>10600</v>
      </c>
    </row>
    <row r="203" spans="1:8" ht="15" customHeight="1" x14ac:dyDescent="0.25">
      <c r="A203" s="296">
        <v>30</v>
      </c>
      <c r="B203" s="297">
        <f t="shared" si="50"/>
        <v>10800</v>
      </c>
      <c r="C203" s="308">
        <v>5.4</v>
      </c>
      <c r="D203" s="296">
        <v>10000</v>
      </c>
      <c r="E203" s="296">
        <v>2.8</v>
      </c>
      <c r="F203" s="296">
        <v>1.4</v>
      </c>
      <c r="G203" s="296">
        <v>1.5</v>
      </c>
      <c r="H203" s="296">
        <v>10600</v>
      </c>
    </row>
    <row r="204" spans="1:8" ht="15" customHeight="1" x14ac:dyDescent="0.25">
      <c r="A204" s="296">
        <v>32</v>
      </c>
      <c r="B204" s="297">
        <f t="shared" si="50"/>
        <v>11520</v>
      </c>
      <c r="C204" s="308">
        <v>6.1</v>
      </c>
      <c r="D204" s="296">
        <v>12000</v>
      </c>
      <c r="E204" s="296">
        <v>3.1</v>
      </c>
      <c r="F204" s="296">
        <v>1.6</v>
      </c>
      <c r="G204" s="296">
        <v>1.5</v>
      </c>
      <c r="H204" s="296">
        <v>10600</v>
      </c>
    </row>
    <row r="205" spans="1:8" ht="15" customHeight="1" x14ac:dyDescent="0.25">
      <c r="A205" s="296">
        <v>34</v>
      </c>
      <c r="B205" s="297">
        <f t="shared" si="50"/>
        <v>12240</v>
      </c>
      <c r="C205" s="308">
        <v>6.8</v>
      </c>
      <c r="D205" s="296">
        <v>12000</v>
      </c>
      <c r="E205" s="296">
        <v>3.1</v>
      </c>
      <c r="F205" s="294">
        <v>1.6</v>
      </c>
      <c r="G205" s="296">
        <v>1.5</v>
      </c>
      <c r="H205" s="296">
        <v>10600</v>
      </c>
    </row>
    <row r="206" spans="1:8" ht="15" customHeight="1" x14ac:dyDescent="0.25">
      <c r="A206" s="296">
        <v>36</v>
      </c>
      <c r="B206" s="297">
        <f t="shared" si="50"/>
        <v>12960</v>
      </c>
      <c r="C206" s="308">
        <v>7.6</v>
      </c>
      <c r="D206" s="296">
        <v>12000</v>
      </c>
      <c r="E206" s="296">
        <v>3.1</v>
      </c>
      <c r="F206" s="294">
        <v>1.9</v>
      </c>
      <c r="G206" s="296">
        <v>1.5</v>
      </c>
      <c r="H206" s="296">
        <v>10600</v>
      </c>
    </row>
    <row r="207" spans="1:8" ht="15" customHeight="1" x14ac:dyDescent="0.25">
      <c r="A207" s="296">
        <v>38</v>
      </c>
      <c r="B207" s="297">
        <f t="shared" si="50"/>
        <v>13680</v>
      </c>
      <c r="C207" s="308">
        <v>8.4</v>
      </c>
      <c r="D207" s="296">
        <v>12000</v>
      </c>
      <c r="E207" s="296">
        <v>3.1</v>
      </c>
      <c r="F207" s="296">
        <v>2.2000000000000002</v>
      </c>
      <c r="G207" s="296">
        <v>3</v>
      </c>
      <c r="H207" s="296">
        <v>12200</v>
      </c>
    </row>
    <row r="208" spans="1:8" ht="15" customHeight="1" x14ac:dyDescent="0.25">
      <c r="A208" s="296">
        <v>40</v>
      </c>
      <c r="B208" s="297">
        <f t="shared" si="50"/>
        <v>14400</v>
      </c>
      <c r="C208" s="308">
        <v>9.3000000000000007</v>
      </c>
      <c r="D208" s="296">
        <v>12000</v>
      </c>
      <c r="E208" s="296">
        <v>3.1</v>
      </c>
      <c r="F208" s="296">
        <v>2.2000000000000002</v>
      </c>
      <c r="G208" s="296">
        <v>3</v>
      </c>
      <c r="H208" s="296">
        <v>12200</v>
      </c>
    </row>
    <row r="209" spans="1:9" ht="15" customHeight="1" x14ac:dyDescent="0.25">
      <c r="A209" s="296">
        <v>42</v>
      </c>
      <c r="B209" s="297">
        <f t="shared" si="50"/>
        <v>15120</v>
      </c>
      <c r="C209" s="308">
        <v>10.199999999999999</v>
      </c>
      <c r="D209" s="296">
        <v>12000</v>
      </c>
      <c r="E209" s="296">
        <v>3.1</v>
      </c>
      <c r="F209" s="296">
        <v>2.2000000000000002</v>
      </c>
      <c r="G209" s="296">
        <v>3</v>
      </c>
      <c r="H209" s="296">
        <v>12200</v>
      </c>
    </row>
    <row r="210" spans="1:9" ht="15" customHeight="1" x14ac:dyDescent="0.25">
      <c r="A210" s="296">
        <v>44</v>
      </c>
      <c r="B210" s="297">
        <f t="shared" si="50"/>
        <v>15840</v>
      </c>
      <c r="C210" s="308">
        <v>11.1</v>
      </c>
      <c r="D210" s="296">
        <v>12000</v>
      </c>
      <c r="E210" s="296">
        <v>3.1</v>
      </c>
      <c r="F210" s="296">
        <v>2.2000000000000002</v>
      </c>
      <c r="G210" s="296">
        <v>3</v>
      </c>
      <c r="H210" s="296">
        <v>12200</v>
      </c>
    </row>
    <row r="211" spans="1:9" ht="15" customHeight="1" x14ac:dyDescent="0.25">
      <c r="A211" s="296">
        <v>46</v>
      </c>
      <c r="B211" s="297">
        <f t="shared" si="50"/>
        <v>16560</v>
      </c>
      <c r="C211" s="308">
        <v>12.1</v>
      </c>
      <c r="D211" s="296">
        <v>12000</v>
      </c>
      <c r="E211" s="296">
        <v>3.1</v>
      </c>
      <c r="F211" s="296">
        <v>2.2000000000000002</v>
      </c>
      <c r="G211" s="296">
        <v>3</v>
      </c>
      <c r="H211" s="296">
        <v>12200</v>
      </c>
    </row>
    <row r="212" spans="1:9" ht="15" customHeight="1" x14ac:dyDescent="0.25">
      <c r="A212" s="296">
        <v>48</v>
      </c>
      <c r="B212" s="297">
        <f t="shared" si="50"/>
        <v>17280</v>
      </c>
      <c r="C212" s="308">
        <v>13.1</v>
      </c>
      <c r="D212" s="296">
        <v>12000</v>
      </c>
      <c r="E212" s="296">
        <v>3.1</v>
      </c>
      <c r="F212" s="296">
        <v>2.2000000000000002</v>
      </c>
      <c r="G212" s="296">
        <v>3</v>
      </c>
      <c r="H212" s="296">
        <v>12200</v>
      </c>
    </row>
    <row r="213" spans="1:9" ht="15" customHeight="1" x14ac:dyDescent="0.25">
      <c r="A213" s="296">
        <v>50</v>
      </c>
      <c r="B213" s="297">
        <f t="shared" si="50"/>
        <v>18000</v>
      </c>
      <c r="C213" s="308">
        <v>14.1</v>
      </c>
      <c r="D213" s="296">
        <v>12000</v>
      </c>
      <c r="E213" s="296">
        <v>3.1</v>
      </c>
      <c r="F213" s="296">
        <v>2.2000000000000002</v>
      </c>
      <c r="G213" s="296">
        <v>3</v>
      </c>
      <c r="H213" s="296">
        <v>12200</v>
      </c>
    </row>
    <row r="214" spans="1:9" ht="15" customHeight="1" x14ac:dyDescent="0.25">
      <c r="A214" s="296">
        <v>52</v>
      </c>
      <c r="B214" s="297">
        <f t="shared" si="50"/>
        <v>18720</v>
      </c>
      <c r="C214" s="308">
        <v>15.2</v>
      </c>
      <c r="D214" s="296">
        <v>12000</v>
      </c>
      <c r="E214" s="296">
        <v>3.1</v>
      </c>
      <c r="F214" s="296">
        <v>2.2000000000000002</v>
      </c>
      <c r="G214" s="296">
        <v>3</v>
      </c>
      <c r="H214" s="296">
        <v>12200</v>
      </c>
    </row>
    <row r="215" spans="1:9" ht="15" customHeight="1" x14ac:dyDescent="0.25">
      <c r="A215" s="296">
        <v>54</v>
      </c>
      <c r="B215" s="297">
        <f t="shared" si="50"/>
        <v>19440</v>
      </c>
      <c r="C215" s="308">
        <v>16.399999999999999</v>
      </c>
      <c r="D215" s="296">
        <v>12000</v>
      </c>
      <c r="E215" s="296">
        <v>3.1</v>
      </c>
      <c r="F215" s="296">
        <v>2.2000000000000002</v>
      </c>
      <c r="G215" s="296">
        <v>3</v>
      </c>
      <c r="H215" s="296">
        <v>12200</v>
      </c>
    </row>
    <row r="216" spans="1:9" ht="15" customHeight="1" x14ac:dyDescent="0.25">
      <c r="A216" s="296">
        <v>56</v>
      </c>
      <c r="B216" s="297">
        <f t="shared" si="50"/>
        <v>20160</v>
      </c>
      <c r="C216" s="308">
        <v>17.600000000000001</v>
      </c>
      <c r="D216" s="296">
        <v>12000</v>
      </c>
      <c r="E216" s="296">
        <v>3.1</v>
      </c>
      <c r="F216" s="296">
        <v>2.2000000000000002</v>
      </c>
      <c r="G216" s="296">
        <v>3</v>
      </c>
      <c r="H216" s="296">
        <v>12200</v>
      </c>
    </row>
    <row r="217" spans="1:9" ht="15" customHeight="1" x14ac:dyDescent="0.25">
      <c r="A217" s="296">
        <v>58</v>
      </c>
      <c r="B217" s="297">
        <f t="shared" si="50"/>
        <v>20880</v>
      </c>
      <c r="C217" s="308">
        <v>18.8</v>
      </c>
      <c r="D217" s="296">
        <v>12000</v>
      </c>
      <c r="E217" s="296">
        <v>3.1</v>
      </c>
      <c r="F217" s="296">
        <v>2.2000000000000002</v>
      </c>
      <c r="G217" s="296">
        <v>3</v>
      </c>
      <c r="H217" s="296">
        <v>12200</v>
      </c>
    </row>
    <row r="218" spans="1:9" ht="15" customHeight="1" x14ac:dyDescent="0.25">
      <c r="A218" s="296">
        <v>60</v>
      </c>
      <c r="B218" s="297">
        <f t="shared" si="50"/>
        <v>21600</v>
      </c>
      <c r="C218" s="308">
        <v>20</v>
      </c>
      <c r="D218" s="296">
        <v>12000</v>
      </c>
      <c r="E218" s="296">
        <v>3.1</v>
      </c>
      <c r="F218" s="296">
        <v>2.2000000000000002</v>
      </c>
      <c r="G218" s="296">
        <v>3</v>
      </c>
      <c r="H218" s="296">
        <v>12200</v>
      </c>
    </row>
    <row r="219" spans="1:9" ht="15" customHeight="1" x14ac:dyDescent="0.25">
      <c r="A219" s="296" t="s">
        <v>115</v>
      </c>
      <c r="B219" s="297"/>
      <c r="C219" s="308"/>
      <c r="D219" s="308"/>
      <c r="E219" s="296"/>
      <c r="F219" s="296"/>
      <c r="G219" s="296"/>
      <c r="H219" s="296">
        <v>1.1000000000000001</v>
      </c>
      <c r="I219" s="296">
        <v>10600</v>
      </c>
    </row>
  </sheetData>
  <sheetProtection password="CDE3" sheet="1" objects="1" scenarios="1"/>
  <conditionalFormatting sqref="D26:O36 A49:B49 D51:Q58 D61:O66 D84:O87 C14 C23:O24 C54 C69 D14:O20 C10:O13 C39:S49 D69:S75">
    <cfRule type="expression" dxfId="35" priority="40" stopIfTrue="1">
      <formula>$B10=1</formula>
    </cfRule>
    <cfRule type="expression" dxfId="34" priority="41" stopIfTrue="1">
      <formula>$B10=2</formula>
    </cfRule>
    <cfRule type="expression" dxfId="33" priority="42" stopIfTrue="1">
      <formula>$B10=3</formula>
    </cfRule>
  </conditionalFormatting>
  <conditionalFormatting sqref="A167:A169">
    <cfRule type="expression" dxfId="32" priority="46">
      <formula>$B15=1</formula>
    </cfRule>
    <cfRule type="expression" dxfId="31" priority="47">
      <formula>$B15=2</formula>
    </cfRule>
    <cfRule type="expression" dxfId="30" priority="48">
      <formula>$B15=3</formula>
    </cfRule>
  </conditionalFormatting>
  <conditionalFormatting sqref="A170 B166:B175 D165:D175">
    <cfRule type="expression" dxfId="29" priority="43" stopIfTrue="1">
      <formula>#REF!=1</formula>
    </cfRule>
    <cfRule type="expression" dxfId="28" priority="44" stopIfTrue="1">
      <formula>#REF!=2</formula>
    </cfRule>
    <cfRule type="expression" dxfId="27" priority="45" stopIfTrue="1">
      <formula>#REF!=3</formula>
    </cfRule>
  </conditionalFormatting>
  <conditionalFormatting sqref="A172">
    <cfRule type="expression" dxfId="26" priority="55" stopIfTrue="1">
      <formula>#REF!=1</formula>
    </cfRule>
    <cfRule type="expression" dxfId="25" priority="56" stopIfTrue="1">
      <formula>#REF!=2</formula>
    </cfRule>
    <cfRule type="expression" dxfId="24" priority="57" stopIfTrue="1">
      <formula>#REF!=3</formula>
    </cfRule>
  </conditionalFormatting>
  <conditionalFormatting sqref="A173:A175">
    <cfRule type="expression" dxfId="23" priority="58" stopIfTrue="1">
      <formula>$B22=1</formula>
    </cfRule>
    <cfRule type="expression" dxfId="22" priority="59" stopIfTrue="1">
      <formula>$B22=2</formula>
    </cfRule>
    <cfRule type="expression" dxfId="21" priority="60" stopIfTrue="1">
      <formula>$B22=3</formula>
    </cfRule>
  </conditionalFormatting>
  <conditionalFormatting sqref="D89:O89">
    <cfRule type="expression" dxfId="20" priority="19" stopIfTrue="1">
      <formula>$B89=1</formula>
    </cfRule>
    <cfRule type="expression" dxfId="19" priority="20" stopIfTrue="1">
      <formula>$B89=2</formula>
    </cfRule>
    <cfRule type="expression" dxfId="18" priority="21" stopIfTrue="1">
      <formula>$B89=3</formula>
    </cfRule>
  </conditionalFormatting>
  <conditionalFormatting sqref="A171">
    <cfRule type="expression" dxfId="17" priority="61" stopIfTrue="1">
      <formula>$B20=1</formula>
    </cfRule>
    <cfRule type="expression" dxfId="16" priority="62" stopIfTrue="1">
      <formula>$B20=2</formula>
    </cfRule>
    <cfRule type="expression" dxfId="15" priority="63" stopIfTrue="1">
      <formula>$B20=3</formula>
    </cfRule>
  </conditionalFormatting>
  <conditionalFormatting sqref="C26:C36 C51:C53 C61:C66 C84:C87 C15:C20 C55:C58 C70:C75">
    <cfRule type="expression" dxfId="14" priority="7" stopIfTrue="1">
      <formula>$B15=1</formula>
    </cfRule>
    <cfRule type="expression" dxfId="13" priority="8" stopIfTrue="1">
      <formula>$B15=2</formula>
    </cfRule>
    <cfRule type="expression" dxfId="12" priority="9" stopIfTrue="1">
      <formula>$B15=3</formula>
    </cfRule>
  </conditionalFormatting>
  <conditionalFormatting sqref="A163:A164 C162:D162 B163">
    <cfRule type="expression" dxfId="11" priority="13">
      <formula>$B11=1</formula>
    </cfRule>
    <cfRule type="expression" dxfId="10" priority="14">
      <formula>$B11=2</formula>
    </cfRule>
    <cfRule type="expression" dxfId="9" priority="15">
      <formula>$B11=3</formula>
    </cfRule>
  </conditionalFormatting>
  <conditionalFormatting sqref="C165:C175">
    <cfRule type="expression" dxfId="8" priority="10" stopIfTrue="1">
      <formula>#REF!=1</formula>
    </cfRule>
    <cfRule type="expression" dxfId="7" priority="11" stopIfTrue="1">
      <formula>#REF!=2</formula>
    </cfRule>
    <cfRule type="expression" dxfId="6" priority="12" stopIfTrue="1">
      <formula>#REF!=3</formula>
    </cfRule>
  </conditionalFormatting>
  <conditionalFormatting sqref="C89">
    <cfRule type="expression" dxfId="5" priority="4" stopIfTrue="1">
      <formula>$B89=1</formula>
    </cfRule>
    <cfRule type="expression" dxfId="4" priority="5" stopIfTrue="1">
      <formula>$B89=2</formula>
    </cfRule>
    <cfRule type="expression" dxfId="3" priority="6" stopIfTrue="1">
      <formula>$B89=3</formula>
    </cfRule>
  </conditionalFormatting>
  <conditionalFormatting sqref="C157">
    <cfRule type="expression" dxfId="2" priority="1" stopIfTrue="1">
      <formula>$B157=1</formula>
    </cfRule>
    <cfRule type="expression" dxfId="1" priority="2" stopIfTrue="1">
      <formula>$B157=2</formula>
    </cfRule>
    <cfRule type="expression" dxfId="0" priority="3" stopIfTrue="1">
      <formula>$B157=3</formula>
    </cfRule>
  </conditionalFormatting>
  <printOptions horizontalCentered="1"/>
  <pageMargins left="0.70866141732283472" right="0.70866141732283472" top="0.78740157480314965" bottom="0.78740157480314965" header="0.31496062992125984" footer="0.31496062992125984"/>
  <pageSetup paperSize="9" scale="57" fitToHeight="2" orientation="landscape" r:id="rId1"/>
  <headerFooter alignWithMargins="0">
    <oddHeader>&amp;C&amp;F
&amp;A</oddHeader>
    <oddFooter>&amp;C&amp;Pvon&amp;N</oddFooter>
  </headerFooter>
  <rowBreaks count="1" manualBreakCount="1">
    <brk id="49" max="7"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Erläuterungen</vt:lpstr>
      <vt:lpstr>Melkstand und Herde</vt:lpstr>
      <vt:lpstr>Arbeitszeit</vt:lpstr>
      <vt:lpstr>Wasser</vt:lpstr>
      <vt:lpstr>Energie</vt:lpstr>
      <vt:lpstr>Energie!Druckbereich</vt:lpstr>
      <vt:lpstr>Wasser!Druckbereich</vt:lpstr>
      <vt:lpstr>Arbeitszeit!Drucktitel</vt:lpstr>
      <vt:lpstr>Energie!Drucktitel</vt:lpstr>
    </vt:vector>
  </TitlesOfParts>
  <Company>KTBL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rp10</dc:creator>
  <cp:lastModifiedBy>rp10</cp:lastModifiedBy>
  <cp:lastPrinted>2015-01-28T08:58:46Z</cp:lastPrinted>
  <dcterms:created xsi:type="dcterms:W3CDTF">2012-02-02T08:19:00Z</dcterms:created>
  <dcterms:modified xsi:type="dcterms:W3CDTF">2015-01-28T09:30:31Z</dcterms:modified>
</cp:coreProperties>
</file>